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lphabetisch" sheetId="1" r:id="rId5"/>
    <sheet name="Performance" sheetId="2" r:id="rId6"/>
    <sheet name="S-Verweis" sheetId="3" r:id="rId7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<sst xmlns="http://schemas.openxmlformats.org/spreadsheetml/2006/main" uniqueCount="253">
  <si>
    <t>Vegan Protein Vergleich</t>
  </si>
  <si>
    <t>Veganes Protein</t>
  </si>
  <si>
    <t>Vegan Protein</t>
  </si>
  <si>
    <t>Vegan 4K Protein</t>
  </si>
  <si>
    <t>Vegan 2K Protein</t>
  </si>
  <si>
    <t>RPI-85</t>
  </si>
  <si>
    <t>Perfect Vegan Protein</t>
  </si>
  <si>
    <t>Vegan Protein Matrix</t>
  </si>
  <si>
    <t>AllVegan Protein</t>
  </si>
  <si>
    <t>No Milk Vegan Protein</t>
  </si>
  <si>
    <t>Plant Protein Superblend</t>
  </si>
  <si>
    <t>Clear Protein Superblend</t>
  </si>
  <si>
    <t>SoProtein Vegan</t>
  </si>
  <si>
    <t>Vegan 3K Protein</t>
  </si>
  <si>
    <t>Vegan 6K Protein</t>
  </si>
  <si>
    <t>Clear Vhey</t>
  </si>
  <si>
    <t>Vegan Crème de la Crème</t>
  </si>
  <si>
    <t>Fruity Vegan Protein</t>
  </si>
  <si>
    <t>Vegan Protein Isolat</t>
  </si>
  <si>
    <t>Yummy Vegan Protein</t>
  </si>
  <si>
    <t>Soy 90+</t>
  </si>
  <si>
    <t>Vegan Protein 360 Platinum</t>
  </si>
  <si>
    <t>Vegan Protein Gold</t>
  </si>
  <si>
    <t>Vegan Protein Black</t>
  </si>
  <si>
    <t>100% Vegan Protein</t>
  </si>
  <si>
    <t>Supreme 100% Vegan Protein</t>
  </si>
  <si>
    <t>Vegetable Protein Freaking Good</t>
  </si>
  <si>
    <t>Clear Protein</t>
  </si>
  <si>
    <t>Protein Shake</t>
  </si>
  <si>
    <t>Pro Protein</t>
  </si>
  <si>
    <t>Natural Protein</t>
  </si>
  <si>
    <t>Daily Protein</t>
  </si>
  <si>
    <t>Smartein</t>
  </si>
  <si>
    <t>V Up-Powder</t>
  </si>
  <si>
    <t>Vheygan Veganes Protein Veggy+</t>
  </si>
  <si>
    <t>Plant Based Protein</t>
  </si>
  <si>
    <t>Vegan Connection</t>
  </si>
  <si>
    <t>Almost Whey</t>
  </si>
  <si>
    <t>Marke</t>
  </si>
  <si>
    <t>247 Nutrition</t>
  </si>
  <si>
    <t>ALL STARS</t>
  </si>
  <si>
    <t>Big Zone</t>
  </si>
  <si>
    <t>Bodybuilding Depot</t>
  </si>
  <si>
    <t>BODY IP</t>
  </si>
  <si>
    <t>Bodylab24</t>
  </si>
  <si>
    <t>EVO SPORTS FUEL</t>
  </si>
  <si>
    <t>fayn.</t>
  </si>
  <si>
    <t>GN</t>
  </si>
  <si>
    <t>Inlead</t>
  </si>
  <si>
    <t>MyProtein</t>
  </si>
  <si>
    <t>Natural Elements</t>
  </si>
  <si>
    <t>Neosupps</t>
  </si>
  <si>
    <t>Nutri+</t>
  </si>
  <si>
    <t>Overshield</t>
  </si>
  <si>
    <t>Peak</t>
  </si>
  <si>
    <t>Powerstar Food</t>
  </si>
  <si>
    <t>Protein Works</t>
  </si>
  <si>
    <t>Prozis</t>
  </si>
  <si>
    <t>Rocka Nutrition</t>
  </si>
  <si>
    <t>Smartein Protein</t>
  </si>
  <si>
    <t>Schokamoli</t>
  </si>
  <si>
    <t>#sinob</t>
  </si>
  <si>
    <t>vetain</t>
  </si>
  <si>
    <t>vit4ever</t>
  </si>
  <si>
    <t>Weider</t>
  </si>
  <si>
    <t>Zec+</t>
  </si>
  <si>
    <t>Preis</t>
  </si>
  <si>
    <t>Größe</t>
  </si>
  <si>
    <t>Preis pro kg</t>
  </si>
  <si>
    <t>Rabattcode (Standardrabatt)</t>
  </si>
  <si>
    <t>Felix (5%)</t>
  </si>
  <si>
    <t>Felix (10%)</t>
  </si>
  <si>
    <t>Felix10 (10%)</t>
  </si>
  <si>
    <t>Felix5 (5%)</t>
  </si>
  <si>
    <t>Felix (15%)</t>
  </si>
  <si>
    <t>FelixVegan (46%)</t>
  </si>
  <si>
    <t>Felix (25%)</t>
  </si>
  <si>
    <t>FelixPW (10%)</t>
  </si>
  <si>
    <t>FitnessFoodCorner (10% + Goodies)</t>
  </si>
  <si>
    <t>FitnessFoodCorner (10%)</t>
  </si>
  <si>
    <t>Keine Codes verfügbar</t>
  </si>
  <si>
    <t>Realistischer Angebotspreis</t>
  </si>
  <si>
    <t>Angebotspreis pro kg</t>
  </si>
  <si>
    <t>Häufigkeit des Angebots</t>
  </si>
  <si>
    <t>Dauerhaft (3er Pack)</t>
  </si>
  <si>
    <t>Oft</t>
  </si>
  <si>
    <t>Selten</t>
  </si>
  <si>
    <t>k.A.</t>
  </si>
  <si>
    <t>Dauerhaft</t>
  </si>
  <si>
    <t>Gelegentlich</t>
  </si>
  <si>
    <t>Häufig</t>
  </si>
  <si>
    <t>Nie</t>
  </si>
  <si>
    <t>Keine</t>
  </si>
  <si>
    <t>Sorten</t>
  </si>
  <si>
    <t>5 (inkl. Matcha)</t>
  </si>
  <si>
    <t>Zusammensetzung</t>
  </si>
  <si>
    <t>Ackerbohnenprotein (44%), Erbsenprotein (42%), Kürbiskernprotein (6%)</t>
  </si>
  <si>
    <t>Erbsenprotein (55%), Ackerbohnenprotein (35%), Kürbiskernprotein (6%)</t>
  </si>
  <si>
    <t>Reisprotein (56,8%), Erbsenprotein (30%), Lysin, Leucin, Isoleucin</t>
  </si>
  <si>
    <t>Reisprotein (40%), Kürbiskernprotein (30%), Mandelprotein (20%), Erdnussprotein (10%)</t>
  </si>
  <si>
    <t>Reisprotein (60%), Erdnussprotein (40%)</t>
  </si>
  <si>
    <t>Reisprotein</t>
  </si>
  <si>
    <t>Ackerbohnenprotein, Sojaproteinisolat, Erbsenproteinisolat, Sonnenblumenprotein</t>
  </si>
  <si>
    <t>Ackerbohnenprotein, Erbsenproteinisolat, Reisprotein, Lysin, Valin, Isoleucin, Methionin, Threonin, Tryptophan</t>
  </si>
  <si>
    <t>Sojaproteinisolat (84,3%), Ackerbohnenprotein (6%), Erbsenproteinisolat (4%)</t>
  </si>
  <si>
    <t>Ackerbohneneiweiß, Erbseneiweiß, Reiseiweiß, Lysin, Leucin, Isoleucin, Valin, Methionin, Tryptophan</t>
  </si>
  <si>
    <t>Sojaproteinisolat (47%), Erbsenprotein (40%), Mandelprotein (2%), Ackerbohnenprotein (2%)</t>
  </si>
  <si>
    <t>Hydrolisiertes Gerstenprotein, hydrolisiertes Reisprotein</t>
  </si>
  <si>
    <t>Sojaeiweißisolat, Erbseneiweiß, Ackerbohneneiweißisolat</t>
  </si>
  <si>
    <t>Erbsenprotein (77%), Reisprotein (9%), Kürbiskernprotein (4,5%)</t>
  </si>
  <si>
    <t>Sojaproteinisolat, Erbsenproteinisolat, Sonnenblumenprotein</t>
  </si>
  <si>
    <t>Sojaproteinisolat, Weizenprotein, Reisprotein, Erbsenproteinisolat, Sonnenblumenprotein, Mandelprotein</t>
  </si>
  <si>
    <t>Erbsenproteinhydrolisat (77,6%), Alanin, Isoleucin, Methionin, Tryptophan</t>
  </si>
  <si>
    <t>Ackerbohnenprotein, Reisprotein, Lysin, Leucin, Threonin, Valin, Methionin, Isoleucin, Tryptophan</t>
  </si>
  <si>
    <t>Hydrolisiertes Erbsenprotein, Leucin, Isoleucin, Valin (BCAA 15%), Methionin</t>
  </si>
  <si>
    <t>Reisproteinisolat (49%), Erbsenproteinisolat (49%)</t>
  </si>
  <si>
    <t>Kürbiskernprotein (32%), Ackerbohnenprotein (26,8%), Erbsenproteinisolat (26,8%), Mandelprotein (5,3%), Hanfprotein (5,3%)</t>
  </si>
  <si>
    <t>Erbsenproteinisolat, Ackerbohnenprotein, Wassermelonenkernprotein, Kichererbsenprotein, Kürbiskernprotein</t>
  </si>
  <si>
    <t>Sojaproteinisolat</t>
  </si>
  <si>
    <t>Sojaproteinisolat, Erbsenproteinisolat, Kürbiskernprotein, Reisprotein</t>
  </si>
  <si>
    <t>Sojaproteinisolat, Erbsenproteinisolat, Reisprotein</t>
  </si>
  <si>
    <t>Sojaproteinisolat, Erbsenproteinisolat</t>
  </si>
  <si>
    <t>Erbsenprotein, Reisprotein</t>
  </si>
  <si>
    <t>Erbsenprotein, Reisprotein, Threonin, Lysin, Leucin, Isoleucin, Valin, Histidin</t>
  </si>
  <si>
    <t>Erbsenprotein (45%), Reisprotein (30%), Sojaproteinisolat (19%)</t>
  </si>
  <si>
    <t>Hydrolisiertes Erbsenprotein (92%)</t>
  </si>
  <si>
    <t>Erbsenprotein, Sojaproteinisolat, Ackerbohnenprotein, Sonnenblumenkernmehl, Mandelmehl</t>
  </si>
  <si>
    <t>Ackerbohnenprotein, Erbsenproteinisolat, Leucin, Valin, Isoleucin</t>
  </si>
  <si>
    <t>Sojaproteinisolat, Ackerbohnenprotein, Mandelprotein, Erbsenprotein</t>
  </si>
  <si>
    <t>Sojaproteinisolat, Ackerbohnenprotein, Sonnenblumenprotein</t>
  </si>
  <si>
    <t>Protein aus der Hefe Saccharomyces cerevisiae</t>
  </si>
  <si>
    <t>Sojaproteinisolat, Leucin, Methionin</t>
  </si>
  <si>
    <t>Erbsenproteinisolat (63,3%), Reisprotein (16,7%), Leucin, Isoleucin, Valin</t>
  </si>
  <si>
    <t>Reisprotein (51,4%), Erbsenprotein (43,8%)</t>
  </si>
  <si>
    <t>Erbsenprotein (50%), Ackerbohnenprotein (20%), Kürbiskernprotein (18%), Goldleinmehl (3%)</t>
  </si>
  <si>
    <t>Hydrolisiertes Erbsenprotein, L-Methionin, L-Histidin, L-Triptophan</t>
  </si>
  <si>
    <t>Ackerbohnenprotein, Leucin, Isoleucin, Valin, Glutamin, Threonin, Methionin</t>
  </si>
  <si>
    <t>Erbsenprotein (78,4%), Ackerbohnenprotein (10%), Reisprotein (5%)</t>
  </si>
  <si>
    <t>Erbseneiweißisolat, Reiseiweiß</t>
  </si>
  <si>
    <t xml:space="preserve">Erbsenprotein, Reisprotein, Leucin, Lysin, Valin, Methionin, Isoleucin, Threonin </t>
  </si>
  <si>
    <t>Besonderheiten</t>
  </si>
  <si>
    <t>Immer versandkostenfrei, weitere Rabatte ab 59, 80 und 100 EUR</t>
  </si>
  <si>
    <t>Zugesetzte Aminosäuren</t>
  </si>
  <si>
    <t>Weniger süß (4% Zusatzstoffe)</t>
  </si>
  <si>
    <t>Weniger süß (3% Zusatzstoffe)</t>
  </si>
  <si>
    <t>Weniger süß</t>
  </si>
  <si>
    <t>Inkl. Stückchen</t>
  </si>
  <si>
    <t>Auch als Frappé &amp; Matcha erhältlich</t>
  </si>
  <si>
    <t>Enthält echtes Saftpulver</t>
  </si>
  <si>
    <t>Vitamin B12</t>
  </si>
  <si>
    <t>Wenig Zusatzstoffe, Probierboxen</t>
  </si>
  <si>
    <t>Weniger Zusatzstoffe, nur mit Stevia gesüßt</t>
  </si>
  <si>
    <t>Enthält Green Blend Mischung (z.B. Gerstengras) &amp; B12</t>
  </si>
  <si>
    <t>Enthält Vitamin Mischung</t>
  </si>
  <si>
    <t>Enthält Vitamin- und Mineralmischung, DigeZyme®; Proteingehalt auf Trockenbasis (real ca. 4 Prozentpunkte niedriger)</t>
  </si>
  <si>
    <t>Proteingehalt auf Trockenbasis (real ca. 4 Prozentpunkte niedriger)</t>
  </si>
  <si>
    <t>DigeZyme®</t>
  </si>
  <si>
    <t>Creapure, DigeZyme®</t>
  </si>
  <si>
    <t>Verstärkter Fokus auf Geschmack, häufig mit Stückchen</t>
  </si>
  <si>
    <t>Mit Mönchsfrucht gesüßt (keine weiteren Süßungsmittel)</t>
  </si>
  <si>
    <t>Aroma in Bio-Qualität</t>
  </si>
  <si>
    <t>Bio Qualität, Papierverpackung, mit Mönchsfrucht gesüßt (keine weiteren Süßungsmittel)</t>
  </si>
  <si>
    <t>Inkl. Fruchtpulver, Papierverpackung</t>
  </si>
  <si>
    <t>NiHPRO Rohstoff</t>
  </si>
  <si>
    <t>Nährwerte:</t>
  </si>
  <si>
    <t>Bananenbrot</t>
  </si>
  <si>
    <t>Banana Bread</t>
  </si>
  <si>
    <t>New York Cheesecake</t>
  </si>
  <si>
    <t>Erdnuss</t>
  </si>
  <si>
    <t>Banane</t>
  </si>
  <si>
    <t>Edelschokolade</t>
  </si>
  <si>
    <t>White Chocolate Cookie Crumble</t>
  </si>
  <si>
    <t>Vanille-Butterkeks</t>
  </si>
  <si>
    <t>White Chocolate Caramel</t>
  </si>
  <si>
    <t>Vanilla Crema</t>
  </si>
  <si>
    <t>Cinnamon Cereal</t>
  </si>
  <si>
    <t>MARVEL Cinnamon Groot</t>
  </si>
  <si>
    <t>Pfirsichtee</t>
  </si>
  <si>
    <t>Vanilla</t>
  </si>
  <si>
    <t>Banana Caramel</t>
  </si>
  <si>
    <t>Hazelnut</t>
  </si>
  <si>
    <t>Green Apple</t>
  </si>
  <si>
    <t>Banana-Peanutbutter</t>
  </si>
  <si>
    <t>Sour Cherry</t>
  </si>
  <si>
    <t>Cookie Dough</t>
  </si>
  <si>
    <t>Pistachio Ice Cream</t>
  </si>
  <si>
    <t>Schoko-Haselnuss</t>
  </si>
  <si>
    <t>Erdbeerwaffel</t>
  </si>
  <si>
    <t>Mango</t>
  </si>
  <si>
    <t>White Choco Pistachio</t>
  </si>
  <si>
    <t>Cinnamon</t>
  </si>
  <si>
    <t>Bourbon Vanilla</t>
  </si>
  <si>
    <t>Chocolate</t>
  </si>
  <si>
    <t>Cookie</t>
  </si>
  <si>
    <t>Vanille</t>
  </si>
  <si>
    <t>Zimt Cereal</t>
  </si>
  <si>
    <t>Vanilla Cream</t>
  </si>
  <si>
    <t>Lemon &amp; Lime</t>
  </si>
  <si>
    <t>Banana Milkshake</t>
  </si>
  <si>
    <t>Haselnuss</t>
  </si>
  <si>
    <t>Vanilla Deam</t>
  </si>
  <si>
    <t>Brennwert</t>
  </si>
  <si>
    <t>Fett</t>
  </si>
  <si>
    <t>davon gesättigt</t>
  </si>
  <si>
    <t>Kohlenhydrate</t>
  </si>
  <si>
    <t>davon Zucker</t>
  </si>
  <si>
    <t>Eiweiß</t>
  </si>
  <si>
    <t>Aminogramm</t>
  </si>
  <si>
    <t>Leucin</t>
  </si>
  <si>
    <t>Isoleucin</t>
  </si>
  <si>
    <t>Valin</t>
  </si>
  <si>
    <t>BCAA</t>
  </si>
  <si>
    <t>Lysin</t>
  </si>
  <si>
    <t>Threonin</t>
  </si>
  <si>
    <t>Phenylalanin</t>
  </si>
  <si>
    <t>Methionin</t>
  </si>
  <si>
    <t>Tryptophan</t>
  </si>
  <si>
    <t>Histidin</t>
  </si>
  <si>
    <t>EAA</t>
  </si>
  <si>
    <t>Tyrosin</t>
  </si>
  <si>
    <t>Arginin</t>
  </si>
  <si>
    <t>Glutaminsäure</t>
  </si>
  <si>
    <t>SEAA</t>
  </si>
  <si>
    <t>Prolin</t>
  </si>
  <si>
    <t>Glycin</t>
  </si>
  <si>
    <t>Cystein</t>
  </si>
  <si>
    <t>Asparaginsäure</t>
  </si>
  <si>
    <t>Serin</t>
  </si>
  <si>
    <t>Alanin</t>
  </si>
  <si>
    <t>Gesamt</t>
  </si>
  <si>
    <t xml:space="preserve"> </t>
  </si>
  <si>
    <t>Bewertung</t>
  </si>
  <si>
    <t>Eiweißgehalt (25%)</t>
  </si>
  <si>
    <t>EAA Gehalt (20%)</t>
  </si>
  <si>
    <t>BCAA Gehalt (15%)</t>
  </si>
  <si>
    <t>Lysin Gehalt (10%)</t>
  </si>
  <si>
    <t>Methionin Gehalt (10%)</t>
  </si>
  <si>
    <t>Tryptophan Gehalt (10%)</t>
  </si>
  <si>
    <t>Zucker Gehalt (5%)</t>
  </si>
  <si>
    <t>Gesättigte Fettsäuren (5%)</t>
  </si>
  <si>
    <t>Gesamt:</t>
  </si>
  <si>
    <t>Tabelle 1</t>
  </si>
  <si>
    <t>S-Verweise für Bewertung</t>
  </si>
  <si>
    <t>Proteingehalt</t>
  </si>
  <si>
    <t>Untergrenze</t>
  </si>
  <si>
    <t>Punkte</t>
  </si>
  <si>
    <t>EAA Gehalt</t>
  </si>
  <si>
    <t>BCAA Gehalt</t>
  </si>
  <si>
    <t>Lysin Gehalt</t>
  </si>
  <si>
    <t>Methionin Gehalt</t>
  </si>
  <si>
    <t>Tryptophan Gehalt</t>
  </si>
  <si>
    <t>Zucker Gehalt</t>
  </si>
  <si>
    <t>Gesättigte Fettsäuren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</si>
</sst>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[$€-2] 0.00"/>
    <numFmt numFmtId="60" formatCode="#,###.#&quot; g&quot;"/>
    <numFmt numFmtId="61" formatCode="#,###&quot; kcal&quot;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2" fillId="3" borderId="3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  <xf numFmtId="49" fontId="2" fillId="3" borderId="6" applyNumberFormat="1" applyFont="1" applyFill="1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59" fontId="0" borderId="8" applyNumberFormat="1" applyFont="1" applyFill="0" applyBorder="1" applyAlignment="1" applyProtection="0">
      <alignment vertical="top" wrapText="1"/>
    </xf>
    <xf numFmtId="60" fontId="0" borderId="7" applyNumberFormat="1" applyFont="1" applyFill="0" applyBorder="1" applyAlignment="1" applyProtection="0">
      <alignment vertical="top" wrapText="1"/>
    </xf>
    <xf numFmtId="60" fontId="0" borderId="8" applyNumberFormat="1" applyFont="1" applyFill="0" applyBorder="1" applyAlignment="1" applyProtection="0">
      <alignment vertical="top" wrapText="1"/>
    </xf>
    <xf numFmtId="0" fontId="0" borderId="8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8" applyNumberFormat="1" applyFont="1" applyFill="0" applyBorder="1" applyAlignment="1" applyProtection="0">
      <alignment vertical="top" wrapText="1"/>
    </xf>
    <xf numFmtId="49" fontId="0" borderId="9" applyNumberFormat="1" applyFont="1" applyFill="0" applyBorder="1" applyAlignment="1" applyProtection="0">
      <alignment vertical="top" wrapText="1"/>
    </xf>
    <xf numFmtId="49" fontId="0" borderId="10" applyNumberFormat="1" applyFont="1" applyFill="0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horizontal="left" vertical="top" wrapText="1"/>
    </xf>
    <xf numFmtId="0" fontId="0" borderId="8" applyNumberFormat="1" applyFont="1" applyFill="0" applyBorder="1" applyAlignment="1" applyProtection="0">
      <alignment horizontal="left" vertical="top" wrapText="1"/>
    </xf>
    <xf numFmtId="49" fontId="0" borderId="8" applyNumberFormat="1" applyFont="1" applyFill="0" applyBorder="1" applyAlignment="1" applyProtection="0">
      <alignment horizontal="left" vertical="top" wrapText="1"/>
    </xf>
    <xf numFmtId="0" fontId="0" borderId="7" applyNumberFormat="0" applyFont="1" applyFill="0" applyBorder="1" applyAlignment="1" applyProtection="0">
      <alignment horizontal="right" vertical="top" wrapText="1"/>
    </xf>
    <xf numFmtId="0" fontId="0" borderId="8" applyNumberFormat="0" applyFont="1" applyFill="0" applyBorder="1" applyAlignment="1" applyProtection="0">
      <alignment horizontal="right" vertical="top" wrapText="1"/>
    </xf>
    <xf numFmtId="49" fontId="0" borderId="7" applyNumberFormat="1" applyFont="1" applyFill="0" applyBorder="1" applyAlignment="1" applyProtection="0">
      <alignment horizontal="right" vertical="top" wrapText="1"/>
    </xf>
    <xf numFmtId="49" fontId="0" borderId="8" applyNumberFormat="1" applyFont="1" applyFill="0" applyBorder="1" applyAlignment="1" applyProtection="0">
      <alignment horizontal="right" vertical="top" wrapText="1"/>
    </xf>
    <xf numFmtId="61" fontId="0" borderId="7" applyNumberFormat="1" applyFont="1" applyFill="0" applyBorder="1" applyAlignment="1" applyProtection="0">
      <alignment vertical="top" wrapText="1"/>
    </xf>
    <xf numFmtId="61" fontId="0" borderId="8" applyNumberFormat="1" applyFont="1" applyFill="0" applyBorder="1" applyAlignment="1" applyProtection="0">
      <alignment vertical="top" wrapText="1"/>
    </xf>
    <xf numFmtId="49" fontId="0" fillId="4" borderId="6" applyNumberFormat="1" applyFont="1" applyFill="1" applyBorder="1" applyAlignment="1" applyProtection="0">
      <alignment vertical="top" wrapText="1"/>
    </xf>
    <xf numFmtId="60" fontId="2" fillId="3" borderId="7" applyNumberFormat="1" applyFont="1" applyFill="1" applyBorder="1" applyAlignment="1" applyProtection="0">
      <alignment vertical="top" wrapText="1"/>
    </xf>
    <xf numFmtId="60" fontId="2" fillId="3" borderId="8" applyNumberFormat="1" applyFont="1" applyFill="1" applyBorder="1" applyAlignment="1" applyProtection="0">
      <alignment vertical="top" wrapText="1"/>
    </xf>
    <xf numFmtId="60" fontId="3" borderId="8" applyNumberFormat="1" applyFont="1" applyFill="0" applyBorder="1" applyAlignment="1" applyProtection="0">
      <alignment vertical="top" wrapText="1"/>
    </xf>
    <xf numFmtId="0" fontId="0" fillId="4" borderId="6" applyNumberFormat="0" applyFont="1" applyFill="1" applyBorder="1" applyAlignment="1" applyProtection="0">
      <alignment vertical="top" wrapText="1"/>
    </xf>
    <xf numFmtId="60" fontId="2" borderId="7" applyNumberFormat="1" applyFont="1" applyFill="0" applyBorder="1" applyAlignment="1" applyProtection="0">
      <alignment vertical="top" wrapText="1"/>
    </xf>
    <xf numFmtId="60" fontId="2" borderId="8" applyNumberFormat="1" applyFont="1" applyFill="0" applyBorder="1" applyAlignment="1" applyProtection="0">
      <alignment vertical="top" wrapText="1"/>
    </xf>
    <xf numFmtId="0" fontId="2" borderId="8" applyNumberFormat="0" applyFont="1" applyFill="0" applyBorder="1" applyAlignment="1" applyProtection="0">
      <alignment vertical="top" wrapText="1"/>
    </xf>
    <xf numFmtId="49" fontId="2" borderId="8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49" fontId="2" fillId="4" borderId="6" applyNumberFormat="1" applyFont="1" applyFill="1" applyBorder="1" applyAlignment="1" applyProtection="0">
      <alignment vertical="top" wrapText="1"/>
    </xf>
    <xf numFmtId="0" fontId="2" borderId="7" applyNumberFormat="1" applyFont="1" applyFill="0" applyBorder="1" applyAlignment="1" applyProtection="0">
      <alignment vertical="top" wrapText="1"/>
    </xf>
    <xf numFmtId="0" fontId="2" borderId="8" applyNumberFormat="1" applyFont="1" applyFill="0" applyBorder="1" applyAlignment="1" applyProtection="0">
      <alignment vertical="top" wrapText="1"/>
    </xf>
    <xf numFmtId="0" fontId="2" borderId="11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0" borderId="12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4" borderId="3" applyNumberFormat="0" applyFont="1" applyFill="1" applyBorder="1" applyAlignment="1" applyProtection="0">
      <alignment vertical="top" wrapText="1"/>
    </xf>
    <xf numFmtId="49" fontId="2" borderId="4" applyNumberFormat="1" applyFont="1" applyFill="0" applyBorder="1" applyAlignment="1" applyProtection="0">
      <alignment vertical="top" wrapText="1"/>
    </xf>
    <xf numFmtId="49" fontId="2" borderId="5" applyNumberFormat="1" applyFont="1" applyFill="0" applyBorder="1" applyAlignment="1" applyProtection="0">
      <alignment vertical="top" wrapText="1"/>
    </xf>
    <xf numFmtId="0" fontId="2" fillId="4" borderId="6" applyNumberFormat="0" applyFont="1" applyFill="1" applyBorder="1" applyAlignment="1" applyProtection="0">
      <alignment vertical="top" wrapText="1"/>
    </xf>
    <xf numFmtId="49" fontId="2" borderId="7" applyNumberFormat="1" applyFont="1" applyFill="0" applyBorder="1" applyAlignment="1" applyProtection="0">
      <alignment vertical="top" wrapText="1"/>
    </xf>
    <xf numFmtId="0" fontId="2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5fdc1"/>
      <rgbColor rgb="ffd5d5d5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U58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7.3281" style="1" customWidth="1"/>
    <col min="2" max="31" width="18.4219" style="1" customWidth="1"/>
    <col min="32" max="32" width="19.6016" style="1" customWidth="1"/>
    <col min="33" max="33" width="18.4219" style="1" customWidth="1"/>
    <col min="34" max="34" width="20.1094" style="1" customWidth="1"/>
    <col min="35" max="47" width="18.4219" style="1" customWidth="1"/>
    <col min="4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ht="32.25" customHeight="1">
      <c r="A2" s="3"/>
      <c r="B2" t="s" s="4">
        <v>1</v>
      </c>
      <c r="C2" t="s" s="4">
        <v>2</v>
      </c>
      <c r="D2" t="s" s="4">
        <v>2</v>
      </c>
      <c r="E2" t="s" s="4">
        <v>3</v>
      </c>
      <c r="F2" t="s" s="4">
        <v>4</v>
      </c>
      <c r="G2" t="s" s="4">
        <v>5</v>
      </c>
      <c r="H2" t="s" s="4">
        <v>6</v>
      </c>
      <c r="I2" t="s" s="4">
        <v>2</v>
      </c>
      <c r="J2" t="s" s="4">
        <v>7</v>
      </c>
      <c r="K2" t="s" s="4">
        <v>8</v>
      </c>
      <c r="L2" t="s" s="4">
        <v>9</v>
      </c>
      <c r="M2" t="s" s="4">
        <v>2</v>
      </c>
      <c r="N2" t="s" s="4">
        <v>10</v>
      </c>
      <c r="O2" t="s" s="4">
        <v>11</v>
      </c>
      <c r="P2" t="s" s="4">
        <v>12</v>
      </c>
      <c r="Q2" t="s" s="4">
        <v>2</v>
      </c>
      <c r="R2" t="s" s="4">
        <v>13</v>
      </c>
      <c r="S2" t="s" s="4">
        <v>14</v>
      </c>
      <c r="T2" t="s" s="4">
        <v>15</v>
      </c>
      <c r="U2" t="s" s="4">
        <v>16</v>
      </c>
      <c r="V2" t="s" s="4">
        <v>17</v>
      </c>
      <c r="W2" t="s" s="4">
        <v>18</v>
      </c>
      <c r="X2" t="s" s="4">
        <v>19</v>
      </c>
      <c r="Y2" t="s" s="4">
        <v>2</v>
      </c>
      <c r="Z2" t="s" s="4">
        <v>20</v>
      </c>
      <c r="AA2" t="s" s="4">
        <v>21</v>
      </c>
      <c r="AB2" t="s" s="4">
        <v>22</v>
      </c>
      <c r="AC2" t="s" s="4">
        <v>23</v>
      </c>
      <c r="AD2" t="s" s="4">
        <v>24</v>
      </c>
      <c r="AE2" t="s" s="4">
        <v>25</v>
      </c>
      <c r="AF2" t="s" s="4">
        <v>26</v>
      </c>
      <c r="AG2" t="s" s="4">
        <v>27</v>
      </c>
      <c r="AH2" t="s" s="4">
        <v>28</v>
      </c>
      <c r="AI2" t="s" s="4">
        <v>29</v>
      </c>
      <c r="AJ2" t="s" s="4">
        <v>30</v>
      </c>
      <c r="AK2" t="s" s="4">
        <v>31</v>
      </c>
      <c r="AL2" t="s" s="4">
        <v>32</v>
      </c>
      <c r="AM2" t="s" s="4">
        <v>33</v>
      </c>
      <c r="AN2" t="s" s="4">
        <v>34</v>
      </c>
      <c r="AO2" t="s" s="4">
        <v>2</v>
      </c>
      <c r="AP2" t="s" s="4">
        <v>2</v>
      </c>
      <c r="AQ2" t="s" s="4">
        <v>27</v>
      </c>
      <c r="AR2" t="s" s="4">
        <v>19</v>
      </c>
      <c r="AS2" t="s" s="4">
        <v>35</v>
      </c>
      <c r="AT2" t="s" s="4">
        <v>36</v>
      </c>
      <c r="AU2" t="s" s="5">
        <v>37</v>
      </c>
    </row>
    <row r="3" ht="20.25" customHeight="1">
      <c r="A3" t="s" s="6">
        <v>38</v>
      </c>
      <c r="B3" t="s" s="7">
        <v>39</v>
      </c>
      <c r="C3" t="s" s="8">
        <v>40</v>
      </c>
      <c r="D3" t="s" s="8">
        <v>41</v>
      </c>
      <c r="E3" t="s" s="8">
        <v>42</v>
      </c>
      <c r="F3" t="s" s="8">
        <v>42</v>
      </c>
      <c r="G3" t="s" s="8">
        <v>42</v>
      </c>
      <c r="H3" t="s" s="8">
        <v>43</v>
      </c>
      <c r="I3" t="s" s="8">
        <v>44</v>
      </c>
      <c r="J3" t="s" s="8">
        <v>45</v>
      </c>
      <c r="K3" t="s" s="8">
        <v>46</v>
      </c>
      <c r="L3" t="s" s="8">
        <v>47</v>
      </c>
      <c r="M3" t="s" s="8">
        <v>48</v>
      </c>
      <c r="N3" t="s" s="8">
        <v>49</v>
      </c>
      <c r="O3" t="s" s="8">
        <v>49</v>
      </c>
      <c r="P3" t="s" s="8">
        <v>50</v>
      </c>
      <c r="Q3" t="s" s="8">
        <v>51</v>
      </c>
      <c r="R3" t="s" s="8">
        <v>52</v>
      </c>
      <c r="S3" t="s" s="8">
        <v>52</v>
      </c>
      <c r="T3" t="s" s="8">
        <v>52</v>
      </c>
      <c r="U3" t="s" s="8">
        <v>53</v>
      </c>
      <c r="V3" t="s" s="8">
        <v>54</v>
      </c>
      <c r="W3" t="s" s="8">
        <v>54</v>
      </c>
      <c r="X3" t="s" s="8">
        <v>54</v>
      </c>
      <c r="Y3" t="s" s="8">
        <v>55</v>
      </c>
      <c r="Z3" t="s" s="8">
        <v>55</v>
      </c>
      <c r="AA3" t="s" s="8">
        <v>56</v>
      </c>
      <c r="AB3" t="s" s="8">
        <v>56</v>
      </c>
      <c r="AC3" t="s" s="8">
        <v>56</v>
      </c>
      <c r="AD3" t="s" s="8">
        <v>57</v>
      </c>
      <c r="AE3" t="s" s="8">
        <v>57</v>
      </c>
      <c r="AF3" t="s" s="8">
        <v>57</v>
      </c>
      <c r="AG3" t="s" s="8">
        <v>58</v>
      </c>
      <c r="AH3" t="s" s="8">
        <v>58</v>
      </c>
      <c r="AI3" t="s" s="8">
        <v>58</v>
      </c>
      <c r="AJ3" t="s" s="8">
        <v>58</v>
      </c>
      <c r="AK3" t="s" s="8">
        <v>58</v>
      </c>
      <c r="AL3" t="s" s="8">
        <v>59</v>
      </c>
      <c r="AM3" t="s" s="8">
        <v>60</v>
      </c>
      <c r="AN3" t="s" s="8">
        <v>61</v>
      </c>
      <c r="AO3" t="s" s="8">
        <v>61</v>
      </c>
      <c r="AP3" t="s" s="8">
        <v>62</v>
      </c>
      <c r="AQ3" t="s" s="8">
        <v>62</v>
      </c>
      <c r="AR3" t="s" s="8">
        <v>63</v>
      </c>
      <c r="AS3" t="s" s="8">
        <v>64</v>
      </c>
      <c r="AT3" t="s" s="8">
        <v>65</v>
      </c>
      <c r="AU3" t="s" s="8">
        <v>65</v>
      </c>
    </row>
    <row r="4" ht="20.05" customHeight="1">
      <c r="A4" t="s" s="9">
        <v>66</v>
      </c>
      <c r="B4" s="10">
        <v>26.95</v>
      </c>
      <c r="C4" s="11">
        <v>18.99</v>
      </c>
      <c r="D4" s="11">
        <v>27.9</v>
      </c>
      <c r="E4" s="11">
        <v>29.9</v>
      </c>
      <c r="F4" s="11">
        <v>19.9</v>
      </c>
      <c r="G4" s="11">
        <v>24.9</v>
      </c>
      <c r="H4" s="11">
        <v>29.9</v>
      </c>
      <c r="I4" s="11">
        <v>36.99</v>
      </c>
      <c r="J4" s="11">
        <v>31.9</v>
      </c>
      <c r="K4" s="11">
        <v>27.9</v>
      </c>
      <c r="L4" s="11">
        <v>34.9</v>
      </c>
      <c r="M4" s="11">
        <v>19.95</v>
      </c>
      <c r="N4" s="11">
        <v>39.99</v>
      </c>
      <c r="O4" s="11">
        <v>40.99</v>
      </c>
      <c r="P4" s="11">
        <v>23.99</v>
      </c>
      <c r="Q4" s="11">
        <v>22.99</v>
      </c>
      <c r="R4" s="11">
        <v>32.9</v>
      </c>
      <c r="S4" s="11">
        <v>32.9</v>
      </c>
      <c r="T4" s="11">
        <v>24.99</v>
      </c>
      <c r="U4" s="11">
        <v>40</v>
      </c>
      <c r="V4" s="11">
        <v>24.9</v>
      </c>
      <c r="W4" s="11">
        <v>17.9</v>
      </c>
      <c r="X4" s="11">
        <v>16.9</v>
      </c>
      <c r="Y4" s="11">
        <v>24.9</v>
      </c>
      <c r="Z4" s="11">
        <v>19.99</v>
      </c>
      <c r="AA4" s="11">
        <v>18.39</v>
      </c>
      <c r="AB4" s="11">
        <v>15.49</v>
      </c>
      <c r="AC4" s="11">
        <v>15.79</v>
      </c>
      <c r="AD4" s="11">
        <v>21.99</v>
      </c>
      <c r="AE4" s="11">
        <v>24.99</v>
      </c>
      <c r="AF4" s="11">
        <v>19.99</v>
      </c>
      <c r="AG4" s="11">
        <v>29.99</v>
      </c>
      <c r="AH4" s="11">
        <v>37.99</v>
      </c>
      <c r="AI4" s="11">
        <v>39.99</v>
      </c>
      <c r="AJ4" s="11">
        <v>29.99</v>
      </c>
      <c r="AK4" s="11">
        <v>29.99</v>
      </c>
      <c r="AL4" s="11">
        <v>29.99</v>
      </c>
      <c r="AM4" s="11">
        <v>45.8</v>
      </c>
      <c r="AN4" s="11">
        <v>31.99</v>
      </c>
      <c r="AO4" s="11">
        <v>29.9</v>
      </c>
      <c r="AP4" s="11">
        <v>32.99</v>
      </c>
      <c r="AQ4" s="11">
        <v>36.99</v>
      </c>
      <c r="AR4" s="11">
        <v>31.99</v>
      </c>
      <c r="AS4" s="11">
        <v>19.99</v>
      </c>
      <c r="AT4" s="11">
        <v>23.9</v>
      </c>
      <c r="AU4" s="11">
        <v>24.9</v>
      </c>
    </row>
    <row r="5" ht="20.05" customHeight="1">
      <c r="A5" t="s" s="9">
        <v>67</v>
      </c>
      <c r="B5" s="12">
        <v>900</v>
      </c>
      <c r="C5" s="13">
        <v>300</v>
      </c>
      <c r="D5" s="13">
        <v>1000</v>
      </c>
      <c r="E5" s="13">
        <v>1000</v>
      </c>
      <c r="F5" s="13">
        <v>1000</v>
      </c>
      <c r="G5" s="13">
        <v>1000</v>
      </c>
      <c r="H5" s="13">
        <v>750</v>
      </c>
      <c r="I5" s="13">
        <v>1000</v>
      </c>
      <c r="J5" s="13">
        <v>800</v>
      </c>
      <c r="K5" s="13">
        <v>700</v>
      </c>
      <c r="L5" s="13">
        <v>1000</v>
      </c>
      <c r="M5" s="13">
        <v>500</v>
      </c>
      <c r="N5" s="13">
        <v>560</v>
      </c>
      <c r="O5" s="13">
        <v>480</v>
      </c>
      <c r="P5" s="13">
        <v>660</v>
      </c>
      <c r="Q5" s="13">
        <v>600</v>
      </c>
      <c r="R5" s="13">
        <v>1000</v>
      </c>
      <c r="S5" s="13">
        <v>1000</v>
      </c>
      <c r="T5" s="13">
        <v>400</v>
      </c>
      <c r="U5" s="13">
        <v>1000</v>
      </c>
      <c r="V5" s="13">
        <v>400</v>
      </c>
      <c r="W5" s="13">
        <v>750</v>
      </c>
      <c r="X5" s="13">
        <v>450</v>
      </c>
      <c r="Y5" s="13">
        <v>500</v>
      </c>
      <c r="Z5" s="13">
        <v>1000</v>
      </c>
      <c r="AA5" s="13">
        <v>1000</v>
      </c>
      <c r="AB5" s="13">
        <v>1000</v>
      </c>
      <c r="AC5" s="13">
        <v>1000</v>
      </c>
      <c r="AD5" s="13">
        <v>700</v>
      </c>
      <c r="AE5" s="13">
        <v>700</v>
      </c>
      <c r="AF5" s="13">
        <v>750</v>
      </c>
      <c r="AG5" s="13">
        <v>360</v>
      </c>
      <c r="AH5" s="13">
        <v>900</v>
      </c>
      <c r="AI5" s="13">
        <v>750</v>
      </c>
      <c r="AJ5" s="13">
        <v>600</v>
      </c>
      <c r="AK5" s="13">
        <v>1000</v>
      </c>
      <c r="AL5" s="13">
        <v>500</v>
      </c>
      <c r="AM5" s="13">
        <v>1000</v>
      </c>
      <c r="AN5" s="13">
        <v>900</v>
      </c>
      <c r="AO5" s="13">
        <v>910</v>
      </c>
      <c r="AP5" s="13">
        <v>540</v>
      </c>
      <c r="AQ5" s="13">
        <v>480</v>
      </c>
      <c r="AR5" s="13">
        <v>908</v>
      </c>
      <c r="AS5" s="13">
        <v>450</v>
      </c>
      <c r="AT5" s="13">
        <v>750</v>
      </c>
      <c r="AU5" s="13">
        <v>1000</v>
      </c>
    </row>
    <row r="6" ht="20.05" customHeight="1">
      <c r="A6" t="s" s="9">
        <v>68</v>
      </c>
      <c r="B6" s="10" cm="1">
        <f t="array" ref="B6">B4/B5*1000</f>
        <v>29.9444444444444</v>
      </c>
      <c r="C6" s="14">
        <v>50.63</v>
      </c>
      <c r="D6" s="14">
        <v>27.9</v>
      </c>
      <c r="E6" s="14">
        <v>29.9</v>
      </c>
      <c r="F6" s="11" cm="1">
        <f t="array" ref="F6">F4/F5*1000</f>
        <v>19.9</v>
      </c>
      <c r="G6" s="11" cm="1">
        <f t="array" ref="G6">G4/G5*1000</f>
        <v>24.9</v>
      </c>
      <c r="H6" s="11" cm="1">
        <f t="array" ref="H6">H4/H5*1000</f>
        <v>39.8666666666667</v>
      </c>
      <c r="I6" s="11" cm="1">
        <f t="array" ref="I6">I4/I5*1000</f>
        <v>36.99</v>
      </c>
      <c r="J6" s="11" cm="1">
        <f t="array" ref="J6">J4/J5*1000</f>
        <v>39.875</v>
      </c>
      <c r="K6" s="11" cm="1">
        <f t="array" ref="K6">K4/K5*1000</f>
        <v>39.8571428571429</v>
      </c>
      <c r="L6" s="11" cm="1">
        <f t="array" ref="L6">L4/L5*1000</f>
        <v>34.9</v>
      </c>
      <c r="M6" s="11" cm="1">
        <f t="array" ref="M6">M4/M5*1000</f>
        <v>39.9</v>
      </c>
      <c r="N6" s="11" cm="1">
        <f t="array" ref="N6">N4/N5*1000</f>
        <v>71.41071428571431</v>
      </c>
      <c r="O6" s="11" cm="1">
        <f t="array" ref="O6">O4/O5*1000</f>
        <v>85.3958333333333</v>
      </c>
      <c r="P6" s="11" cm="1">
        <f t="array" ref="P6">P4/P5*1000</f>
        <v>36.3484848484848</v>
      </c>
      <c r="Q6" s="11" cm="1">
        <f t="array" ref="Q6">Q4/Q5*1000</f>
        <v>38.3166666666667</v>
      </c>
      <c r="R6" s="11" cm="1">
        <f t="array" ref="R6">R4/R5*1000</f>
        <v>32.9</v>
      </c>
      <c r="S6" s="11" cm="1">
        <f t="array" ref="S6">S4/S5*1000</f>
        <v>32.9</v>
      </c>
      <c r="T6" s="11" cm="1">
        <f t="array" ref="T6">T4/T5*1000</f>
        <v>62.475</v>
      </c>
      <c r="U6" s="11" cm="1">
        <f t="array" ref="U6">U4/U5*1000</f>
        <v>40</v>
      </c>
      <c r="V6" s="11" cm="1">
        <f t="array" ref="V6">V4/V5*1000</f>
        <v>62.25</v>
      </c>
      <c r="W6" s="11" cm="1">
        <f t="array" ref="W6">W4/W5*1000</f>
        <v>23.8666666666667</v>
      </c>
      <c r="X6" s="11" cm="1">
        <f t="array" ref="X6">X4/X5*1000</f>
        <v>37.5555555555556</v>
      </c>
      <c r="Y6" s="11" cm="1">
        <f t="array" ref="Y6">Y4/Y5*1000</f>
        <v>49.8</v>
      </c>
      <c r="Z6" s="11" cm="1">
        <f t="array" ref="Z6">Z4/Z5*1000</f>
        <v>19.99</v>
      </c>
      <c r="AA6" s="11" cm="1">
        <f t="array" ref="AA6">AA4/AA5*1000</f>
        <v>18.39</v>
      </c>
      <c r="AB6" s="11" cm="1">
        <f t="array" ref="AB6">AB4/AB5*1000</f>
        <v>15.49</v>
      </c>
      <c r="AC6" s="11" cm="1">
        <f t="array" ref="AC6">AC4/AC5*1000</f>
        <v>15.79</v>
      </c>
      <c r="AD6" s="11" cm="1">
        <f t="array" ref="AD6">AD4/AD5*1000</f>
        <v>31.4142857142857</v>
      </c>
      <c r="AE6" s="11" cm="1">
        <f t="array" ref="AE6">AE4/AE5*1000</f>
        <v>35.7</v>
      </c>
      <c r="AF6" s="11" cm="1">
        <f t="array" ref="AF6">AF4/AF5*1000</f>
        <v>26.6533333333333</v>
      </c>
      <c r="AG6" s="11" cm="1">
        <f t="array" ref="AG6">AG4/AG5*1000</f>
        <v>83.3055555555556</v>
      </c>
      <c r="AH6" s="11" cm="1">
        <f t="array" ref="AH6">AH4/AH5*1000</f>
        <v>42.2111111111111</v>
      </c>
      <c r="AI6" s="11" cm="1">
        <f t="array" ref="AI6">AI4/AI5*1000</f>
        <v>53.32</v>
      </c>
      <c r="AJ6" s="11" cm="1">
        <f t="array" ref="AJ6">AJ4/AJ5*1000</f>
        <v>49.9833333333333</v>
      </c>
      <c r="AK6" s="11" cm="1">
        <f t="array" ref="AK6">AK4/AK5*1000</f>
        <v>29.99</v>
      </c>
      <c r="AL6" s="11" cm="1">
        <f t="array" ref="AL6">AL4/AL5*1000</f>
        <v>59.98</v>
      </c>
      <c r="AM6" s="11" cm="1">
        <f t="array" ref="AM6">AM4/AM5*1000</f>
        <v>45.8</v>
      </c>
      <c r="AN6" s="11" cm="1">
        <f t="array" ref="AN6">AN4/AN5*1000</f>
        <v>35.5444444444444</v>
      </c>
      <c r="AO6" s="11" cm="1">
        <f t="array" ref="AO6">AO4/AO5*1000</f>
        <v>32.8571428571429</v>
      </c>
      <c r="AP6" s="11" cm="1">
        <f t="array" ref="AP6">AP4/AP5*1000</f>
        <v>61.0925925925926</v>
      </c>
      <c r="AQ6" s="11" cm="1">
        <f t="array" ref="AQ6">AQ4/AQ5*1000</f>
        <v>77.0625</v>
      </c>
      <c r="AR6" s="11" cm="1">
        <f t="array" ref="AR6">AR4/AR5*1000</f>
        <v>35.2312775330396</v>
      </c>
      <c r="AS6" s="11" cm="1">
        <f t="array" ref="AS6">AS4/AS5*1000</f>
        <v>44.4222222222222</v>
      </c>
      <c r="AT6" s="11" cm="1">
        <f t="array" ref="AT6">AT4/AT5*1000</f>
        <v>31.8666666666667</v>
      </c>
      <c r="AU6" s="11" cm="1">
        <f t="array" ref="AU6">AU4/AU5*1000</f>
        <v>24.9</v>
      </c>
    </row>
    <row r="7" ht="32.05" customHeight="1">
      <c r="A7" t="s" s="9">
        <v>69</v>
      </c>
      <c r="B7" t="s" s="15">
        <v>70</v>
      </c>
      <c r="C7" t="s" s="16">
        <v>71</v>
      </c>
      <c r="D7" t="s" s="16">
        <v>72</v>
      </c>
      <c r="E7" t="s" s="16">
        <v>73</v>
      </c>
      <c r="F7" t="s" s="16">
        <v>73</v>
      </c>
      <c r="G7" t="s" s="16">
        <v>73</v>
      </c>
      <c r="H7" t="s" s="16">
        <v>74</v>
      </c>
      <c r="I7" t="s" s="16">
        <v>75</v>
      </c>
      <c r="J7" t="s" s="16">
        <v>71</v>
      </c>
      <c r="K7" t="s" s="16">
        <v>71</v>
      </c>
      <c r="L7" t="s" s="16">
        <v>72</v>
      </c>
      <c r="M7" t="s" s="16">
        <v>71</v>
      </c>
      <c r="N7" t="s" s="16">
        <v>71</v>
      </c>
      <c r="O7" t="s" s="16">
        <v>71</v>
      </c>
      <c r="P7" t="s" s="16">
        <v>71</v>
      </c>
      <c r="Q7" t="s" s="16">
        <v>72</v>
      </c>
      <c r="R7" t="s" s="16">
        <v>71</v>
      </c>
      <c r="S7" t="s" s="16">
        <v>71</v>
      </c>
      <c r="T7" t="s" s="16">
        <v>71</v>
      </c>
      <c r="U7" t="s" s="16">
        <v>76</v>
      </c>
      <c r="V7" t="s" s="16">
        <v>72</v>
      </c>
      <c r="W7" t="s" s="16">
        <v>72</v>
      </c>
      <c r="X7" t="s" s="16">
        <v>72</v>
      </c>
      <c r="Y7" t="s" s="16">
        <v>71</v>
      </c>
      <c r="Z7" t="s" s="16">
        <v>71</v>
      </c>
      <c r="AA7" t="s" s="16">
        <v>77</v>
      </c>
      <c r="AB7" t="s" s="16">
        <v>77</v>
      </c>
      <c r="AC7" t="s" s="16">
        <v>77</v>
      </c>
      <c r="AD7" t="s" s="16">
        <v>78</v>
      </c>
      <c r="AE7" t="s" s="16">
        <v>78</v>
      </c>
      <c r="AF7" t="s" s="16">
        <v>78</v>
      </c>
      <c r="AG7" t="s" s="16">
        <v>79</v>
      </c>
      <c r="AH7" t="s" s="16">
        <v>79</v>
      </c>
      <c r="AI7" t="s" s="16">
        <v>79</v>
      </c>
      <c r="AJ7" t="s" s="16">
        <v>79</v>
      </c>
      <c r="AK7" t="s" s="16">
        <v>79</v>
      </c>
      <c r="AL7" t="s" s="16">
        <v>80</v>
      </c>
      <c r="AM7" t="s" s="16">
        <v>70</v>
      </c>
      <c r="AN7" t="s" s="16">
        <v>71</v>
      </c>
      <c r="AO7" t="s" s="16">
        <v>72</v>
      </c>
      <c r="AP7" t="s" s="16">
        <v>71</v>
      </c>
      <c r="AQ7" t="s" s="16">
        <v>71</v>
      </c>
      <c r="AR7" t="s" s="16">
        <v>71</v>
      </c>
      <c r="AS7" t="s" s="17">
        <v>71</v>
      </c>
      <c r="AT7" t="s" s="18">
        <v>79</v>
      </c>
      <c r="AU7" t="s" s="16">
        <v>79</v>
      </c>
    </row>
    <row r="8" ht="20.05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ht="32.05" customHeight="1">
      <c r="A9" t="s" s="9">
        <v>81</v>
      </c>
      <c r="B9" s="10">
        <v>16.23</v>
      </c>
      <c r="C9" s="11">
        <v>13.68</v>
      </c>
      <c r="D9" s="11">
        <v>22.32</v>
      </c>
      <c r="E9" s="11">
        <v>25.56</v>
      </c>
      <c r="F9" s="11">
        <v>17.01</v>
      </c>
      <c r="G9" s="11">
        <v>21.29</v>
      </c>
      <c r="H9" s="11">
        <v>25.42</v>
      </c>
      <c r="I9" s="11">
        <v>19.99</v>
      </c>
      <c r="J9" s="11">
        <v>25.52</v>
      </c>
      <c r="K9" s="11">
        <v>20.93</v>
      </c>
      <c r="L9" s="11" cm="1">
        <f t="array" ref="L9">L4*0.75</f>
        <v>26.175</v>
      </c>
      <c r="M9" s="11">
        <v>14.36</v>
      </c>
      <c r="N9" s="11">
        <v>8.09</v>
      </c>
      <c r="O9" s="11">
        <v>21.59</v>
      </c>
      <c r="P9" s="11">
        <v>21.6</v>
      </c>
      <c r="Q9" s="11">
        <v>18.39</v>
      </c>
      <c r="R9" s="11">
        <v>26.32</v>
      </c>
      <c r="S9" s="11">
        <v>26.32</v>
      </c>
      <c r="T9" s="11">
        <v>19.99</v>
      </c>
      <c r="U9" s="11">
        <v>28</v>
      </c>
      <c r="V9" s="11">
        <v>19.92</v>
      </c>
      <c r="W9" s="11">
        <v>14.32</v>
      </c>
      <c r="X9" s="11">
        <v>13.52</v>
      </c>
      <c r="Y9" s="11" cm="1">
        <f t="array" ref="Y9">Y4*0.8</f>
        <v>19.92</v>
      </c>
      <c r="Z9" s="11" cm="1">
        <f t="array" ref="Z9">Z4*0.8</f>
        <v>15.992</v>
      </c>
      <c r="AA9" s="11" cm="1">
        <f t="array" ref="AA9">AA4*0.9</f>
        <v>16.551</v>
      </c>
      <c r="AB9" s="11" cm="1">
        <f t="array" ref="AB9">AB4*0.9</f>
        <v>13.941</v>
      </c>
      <c r="AC9" s="11" cm="1">
        <f t="array" ref="AC9">AC4*0.9</f>
        <v>14.211</v>
      </c>
      <c r="AD9" s="11" cm="1">
        <f t="array" ref="AD9">AD4*0.8</f>
        <v>17.592</v>
      </c>
      <c r="AE9" s="11" cm="1">
        <f t="array" ref="AE9">AE4*0.8</f>
        <v>19.992</v>
      </c>
      <c r="AF9" s="11" cm="1">
        <f t="array" ref="AF9">AF4*0.8</f>
        <v>15.992</v>
      </c>
      <c r="AG9" s="11" cm="1">
        <f t="array" ref="AG9">AG4*0.8</f>
        <v>23.992</v>
      </c>
      <c r="AH9" s="11" cm="1">
        <f t="array" ref="AH9">AH4*0.8</f>
        <v>30.392</v>
      </c>
      <c r="AI9" s="11" cm="1">
        <f t="array" ref="AI9">AI4*0.8</f>
        <v>31.992</v>
      </c>
      <c r="AJ9" s="11" cm="1">
        <f t="array" ref="AJ9">AJ4*0.8</f>
        <v>23.992</v>
      </c>
      <c r="AK9" s="11" cm="1">
        <f t="array" ref="AK9">AK4*0.8</f>
        <v>23.992</v>
      </c>
      <c r="AL9" s="11">
        <v>29.99</v>
      </c>
      <c r="AM9" s="11" cm="1">
        <f t="array" ref="AM9">AM4*0.9</f>
        <v>41.22</v>
      </c>
      <c r="AN9" s="11">
        <v>26.99</v>
      </c>
      <c r="AO9" s="11" cm="1">
        <f t="array" ref="AO9">AO4*0.85</f>
        <v>25.415</v>
      </c>
      <c r="AP9" s="11" cm="1">
        <f t="array" ref="AP9">AP4*0.85</f>
        <v>28.0415</v>
      </c>
      <c r="AQ9" s="11" cm="1">
        <f t="array" ref="AQ9">AQ4*0.85</f>
        <v>31.4415</v>
      </c>
      <c r="AR9" s="11" cm="1">
        <f t="array" ref="AR9">AR4*0.8</f>
        <v>25.592</v>
      </c>
      <c r="AS9" s="11" cm="1">
        <f t="array" ref="AS9">AS4*0.85</f>
        <v>16.9915</v>
      </c>
      <c r="AT9" s="11" cm="1">
        <f t="array" ref="AT9">AT4*0.85</f>
        <v>20.315</v>
      </c>
      <c r="AU9" s="11">
        <v>24.9</v>
      </c>
    </row>
    <row r="10" ht="32.05" customHeight="1">
      <c r="A10" t="s" s="9">
        <v>82</v>
      </c>
      <c r="B10" s="10" cm="1">
        <f t="array" ref="B10">B9/B5*1000</f>
        <v>18.0333333333333</v>
      </c>
      <c r="C10" s="11" cm="1">
        <f t="array" ref="C10">C9/C5*1000</f>
        <v>45.6</v>
      </c>
      <c r="D10" s="11" cm="1">
        <f t="array" ref="D10">D9/D5*1000</f>
        <v>22.32</v>
      </c>
      <c r="E10" s="11" cm="1">
        <f t="array" ref="E10">E9/E5*1000</f>
        <v>25.56</v>
      </c>
      <c r="F10" s="11" cm="1">
        <f t="array" ref="F10">F9/F5*1000</f>
        <v>17.01</v>
      </c>
      <c r="G10" s="11" cm="1">
        <f t="array" ref="G10">G9/G5*1000</f>
        <v>21.29</v>
      </c>
      <c r="H10" s="11" cm="1">
        <f t="array" ref="H10">H9/H5*1000</f>
        <v>33.8933333333333</v>
      </c>
      <c r="I10" s="11" cm="1">
        <f t="array" ref="I10">I9/I5*1000</f>
        <v>19.99</v>
      </c>
      <c r="J10" s="11" cm="1">
        <f t="array" ref="J10">J9/J5*1000</f>
        <v>31.9</v>
      </c>
      <c r="K10" s="11" cm="1">
        <f t="array" ref="K10">K9/K5*1000</f>
        <v>29.9</v>
      </c>
      <c r="L10" s="11" cm="1">
        <f t="array" ref="L10">L9/L5*1000</f>
        <v>26.175</v>
      </c>
      <c r="M10" s="11" cm="1">
        <f t="array" ref="M10">M9/M5*1000</f>
        <v>28.72</v>
      </c>
      <c r="N10" s="11" cm="1">
        <f t="array" ref="N10">N9/N5*1000</f>
        <v>14.4464285714286</v>
      </c>
      <c r="O10" s="11" cm="1">
        <f t="array" ref="O10">O9/O5*1000</f>
        <v>44.9791666666667</v>
      </c>
      <c r="P10" s="11" cm="1">
        <f t="array" ref="P10">P9/P5*1000</f>
        <v>32.7272727272727</v>
      </c>
      <c r="Q10" s="11" cm="1">
        <f t="array" ref="Q10">Q9/Q5*1000</f>
        <v>30.65</v>
      </c>
      <c r="R10" s="11" cm="1">
        <f t="array" ref="R10">R9/R5*1000</f>
        <v>26.32</v>
      </c>
      <c r="S10" s="11" cm="1">
        <f t="array" ref="S10">S9/S5*1000</f>
        <v>26.32</v>
      </c>
      <c r="T10" s="11" cm="1">
        <f t="array" ref="T10">T9/T5*1000</f>
        <v>49.975</v>
      </c>
      <c r="U10" s="11" cm="1">
        <f t="array" ref="U10">U9/U5*1000</f>
        <v>28</v>
      </c>
      <c r="V10" s="11" cm="1">
        <f t="array" ref="V10">V9/V5*1000</f>
        <v>49.8</v>
      </c>
      <c r="W10" s="11" cm="1">
        <f t="array" ref="W10">W9/W5*1000</f>
        <v>19.0933333333333</v>
      </c>
      <c r="X10" s="11" cm="1">
        <f t="array" ref="X10">X9/X5*1000</f>
        <v>30.0444444444444</v>
      </c>
      <c r="Y10" s="11" cm="1">
        <f t="array" ref="Y10">Y9/Y5*1000</f>
        <v>39.84</v>
      </c>
      <c r="Z10" s="11" cm="1">
        <f t="array" ref="Z10">Z9/Z5*1000</f>
        <v>15.992</v>
      </c>
      <c r="AA10" s="11" cm="1">
        <f t="array" ref="AA10">AA9/AA5*1000</f>
        <v>16.551</v>
      </c>
      <c r="AB10" s="11" cm="1">
        <f t="array" ref="AB10">AB9/AB5*1000</f>
        <v>13.941</v>
      </c>
      <c r="AC10" s="11" cm="1">
        <f t="array" ref="AC10">AC9/AC5*1000</f>
        <v>14.211</v>
      </c>
      <c r="AD10" s="11" cm="1">
        <f t="array" ref="AD10">AD9/AD5*1000</f>
        <v>25.1314285714286</v>
      </c>
      <c r="AE10" s="11" cm="1">
        <f t="array" ref="AE10">AE9/AE5*1000</f>
        <v>28.56</v>
      </c>
      <c r="AF10" s="11" cm="1">
        <f t="array" ref="AF10">AF9/AF5*1000</f>
        <v>21.3226666666667</v>
      </c>
      <c r="AG10" s="11" cm="1">
        <f t="array" ref="AG10">AG9/AG5*1000</f>
        <v>66.6444444444444</v>
      </c>
      <c r="AH10" s="11" cm="1">
        <f t="array" ref="AH10">AH9/AH5*1000</f>
        <v>33.7688888888889</v>
      </c>
      <c r="AI10" s="11" cm="1">
        <f t="array" ref="AI10">AI9/AI5*1000</f>
        <v>42.656</v>
      </c>
      <c r="AJ10" s="11" cm="1">
        <f t="array" ref="AJ10">AJ9/AJ5*1000</f>
        <v>39.9866666666667</v>
      </c>
      <c r="AK10" s="11" cm="1">
        <f t="array" ref="AK10">AK9/AK5*1000</f>
        <v>23.992</v>
      </c>
      <c r="AL10" s="11" cm="1">
        <f t="array" ref="AL10">AL9/AL5*1000</f>
        <v>59.98</v>
      </c>
      <c r="AM10" s="11" cm="1">
        <f t="array" ref="AM10">AM9/AM5*1000</f>
        <v>41.22</v>
      </c>
      <c r="AN10" s="11" cm="1">
        <f t="array" ref="AN10">AN9/AN5*1000</f>
        <v>29.9888888888889</v>
      </c>
      <c r="AO10" s="11" cm="1">
        <f t="array" ref="AO10">AO9/AO5*1000</f>
        <v>27.9285714285714</v>
      </c>
      <c r="AP10" s="11" cm="1">
        <f t="array" ref="AP10">AP9/AP5*1000</f>
        <v>51.9287037037037</v>
      </c>
      <c r="AQ10" s="11" cm="1">
        <f t="array" ref="AQ10">AQ9/AQ5*1000</f>
        <v>65.503125</v>
      </c>
      <c r="AR10" s="11" cm="1">
        <f t="array" ref="AR10">AR9/AR5*1000</f>
        <v>28.1850220264317</v>
      </c>
      <c r="AS10" s="11" cm="1">
        <f t="array" ref="AS10">AS9/AS5*1000</f>
        <v>37.7588888888889</v>
      </c>
      <c r="AT10" s="11" cm="1">
        <f t="array" ref="AT10">AT9/AT5*1000</f>
        <v>27.0866666666667</v>
      </c>
      <c r="AU10" s="11" cm="1">
        <f t="array" ref="AU10">AU9/AU5*1000</f>
        <v>24.9</v>
      </c>
    </row>
    <row r="11" ht="32.05" customHeight="1">
      <c r="A11" t="s" s="9">
        <v>83</v>
      </c>
      <c r="B11" t="s" s="15">
        <v>84</v>
      </c>
      <c r="C11" t="s" s="16">
        <v>85</v>
      </c>
      <c r="D11" t="s" s="16">
        <v>86</v>
      </c>
      <c r="E11" t="s" s="16">
        <v>86</v>
      </c>
      <c r="F11" t="s" s="16">
        <v>86</v>
      </c>
      <c r="G11" t="s" s="16">
        <v>86</v>
      </c>
      <c r="H11" t="s" s="16">
        <v>87</v>
      </c>
      <c r="I11" t="s" s="16">
        <v>88</v>
      </c>
      <c r="J11" t="s" s="16">
        <v>89</v>
      </c>
      <c r="K11" t="s" s="16">
        <v>89</v>
      </c>
      <c r="L11" t="s" s="16">
        <v>90</v>
      </c>
      <c r="M11" t="s" s="16">
        <v>89</v>
      </c>
      <c r="N11" t="s" s="16">
        <v>85</v>
      </c>
      <c r="O11" t="s" s="16">
        <v>85</v>
      </c>
      <c r="P11" t="s" s="16">
        <v>88</v>
      </c>
      <c r="Q11" t="s" s="16">
        <v>89</v>
      </c>
      <c r="R11" t="s" s="16">
        <v>89</v>
      </c>
      <c r="S11" t="s" s="16">
        <v>89</v>
      </c>
      <c r="T11" t="s" s="16">
        <v>89</v>
      </c>
      <c r="U11" t="s" s="16">
        <v>89</v>
      </c>
      <c r="V11" t="s" s="16">
        <v>86</v>
      </c>
      <c r="W11" t="s" s="16">
        <v>86</v>
      </c>
      <c r="X11" t="s" s="16">
        <v>86</v>
      </c>
      <c r="Y11" t="s" s="16">
        <v>89</v>
      </c>
      <c r="Z11" t="s" s="16">
        <v>89</v>
      </c>
      <c r="AA11" t="s" s="16">
        <v>88</v>
      </c>
      <c r="AB11" t="s" s="16">
        <v>88</v>
      </c>
      <c r="AC11" t="s" s="16">
        <v>88</v>
      </c>
      <c r="AD11" t="s" s="16">
        <v>90</v>
      </c>
      <c r="AE11" t="s" s="16">
        <v>90</v>
      </c>
      <c r="AF11" t="s" s="16">
        <v>90</v>
      </c>
      <c r="AG11" t="s" s="16">
        <v>89</v>
      </c>
      <c r="AH11" t="s" s="16">
        <v>89</v>
      </c>
      <c r="AI11" t="s" s="16">
        <v>89</v>
      </c>
      <c r="AJ11" t="s" s="16">
        <v>89</v>
      </c>
      <c r="AK11" t="s" s="16">
        <v>89</v>
      </c>
      <c r="AL11" t="s" s="16">
        <v>91</v>
      </c>
      <c r="AM11" t="s" s="16">
        <v>86</v>
      </c>
      <c r="AN11" t="s" s="16">
        <v>90</v>
      </c>
      <c r="AO11" t="s" s="16">
        <v>86</v>
      </c>
      <c r="AP11" t="s" s="16">
        <v>90</v>
      </c>
      <c r="AQ11" t="s" s="16">
        <v>90</v>
      </c>
      <c r="AR11" t="s" s="16">
        <v>89</v>
      </c>
      <c r="AS11" t="s" s="16">
        <v>89</v>
      </c>
      <c r="AT11" t="s" s="16">
        <v>89</v>
      </c>
      <c r="AU11" t="s" s="16">
        <v>92</v>
      </c>
    </row>
    <row r="12" ht="20.05" customHeight="1">
      <c r="A12" s="1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21"/>
    </row>
    <row r="13" ht="20.05" customHeight="1">
      <c r="A13" t="s" s="9">
        <v>93</v>
      </c>
      <c r="B13" s="22">
        <v>2</v>
      </c>
      <c r="C13" s="23">
        <v>2</v>
      </c>
      <c r="D13" s="23">
        <v>4</v>
      </c>
      <c r="E13" s="23">
        <v>4</v>
      </c>
      <c r="F13" s="23">
        <v>4</v>
      </c>
      <c r="G13" s="23">
        <v>4</v>
      </c>
      <c r="H13" s="23">
        <v>5</v>
      </c>
      <c r="I13" s="23">
        <v>19</v>
      </c>
      <c r="J13" s="23">
        <v>4</v>
      </c>
      <c r="K13" t="s" s="24">
        <v>94</v>
      </c>
      <c r="L13" s="23">
        <v>4</v>
      </c>
      <c r="M13" s="23">
        <v>7</v>
      </c>
      <c r="N13" s="23">
        <v>4</v>
      </c>
      <c r="O13" s="23">
        <v>3</v>
      </c>
      <c r="P13" s="23">
        <v>2</v>
      </c>
      <c r="Q13" s="23">
        <v>2</v>
      </c>
      <c r="R13" s="23">
        <v>23</v>
      </c>
      <c r="S13" s="23">
        <v>21</v>
      </c>
      <c r="T13" s="23">
        <v>3</v>
      </c>
      <c r="U13" s="23">
        <v>6</v>
      </c>
      <c r="V13" s="23">
        <v>6</v>
      </c>
      <c r="W13" s="23">
        <v>11</v>
      </c>
      <c r="X13" s="23">
        <v>7</v>
      </c>
      <c r="Y13" s="23">
        <v>6</v>
      </c>
      <c r="Z13" s="23">
        <v>8</v>
      </c>
      <c r="AA13" s="23">
        <v>11</v>
      </c>
      <c r="AB13" s="23">
        <v>6</v>
      </c>
      <c r="AC13" s="23">
        <v>5</v>
      </c>
      <c r="AD13" s="23">
        <v>4</v>
      </c>
      <c r="AE13" s="23">
        <v>3</v>
      </c>
      <c r="AF13" s="23">
        <v>6</v>
      </c>
      <c r="AG13" s="23">
        <v>3</v>
      </c>
      <c r="AH13" s="23">
        <v>12</v>
      </c>
      <c r="AI13" s="23">
        <v>1</v>
      </c>
      <c r="AJ13" s="23">
        <v>1</v>
      </c>
      <c r="AK13" s="23">
        <v>2</v>
      </c>
      <c r="AL13" s="23">
        <v>3</v>
      </c>
      <c r="AM13" s="23">
        <v>2</v>
      </c>
      <c r="AN13" s="23">
        <v>6</v>
      </c>
      <c r="AO13" s="23">
        <v>2</v>
      </c>
      <c r="AP13" s="23">
        <v>11</v>
      </c>
      <c r="AQ13" s="23">
        <v>8</v>
      </c>
      <c r="AR13" s="23">
        <v>8</v>
      </c>
      <c r="AS13" s="23">
        <v>2</v>
      </c>
      <c r="AT13" s="23">
        <v>4</v>
      </c>
      <c r="AU13" s="23">
        <v>2</v>
      </c>
    </row>
    <row r="14" ht="104.05" customHeight="1">
      <c r="A14" t="s" s="9">
        <v>95</v>
      </c>
      <c r="B14" t="s" s="15">
        <v>96</v>
      </c>
      <c r="C14" t="s" s="16">
        <v>97</v>
      </c>
      <c r="D14" t="s" s="16">
        <v>98</v>
      </c>
      <c r="E14" t="s" s="16">
        <v>99</v>
      </c>
      <c r="F14" t="s" s="16">
        <v>100</v>
      </c>
      <c r="G14" t="s" s="16">
        <v>101</v>
      </c>
      <c r="H14" t="s" s="16">
        <v>102</v>
      </c>
      <c r="I14" t="s" s="16">
        <v>96</v>
      </c>
      <c r="J14" t="s" s="16">
        <v>103</v>
      </c>
      <c r="K14" t="s" s="16">
        <v>104</v>
      </c>
      <c r="L14" t="s" s="16">
        <v>105</v>
      </c>
      <c r="M14" t="s" s="16">
        <v>106</v>
      </c>
      <c r="N14" t="s" s="16">
        <v>107</v>
      </c>
      <c r="O14" t="s" s="16">
        <v>107</v>
      </c>
      <c r="P14" t="s" s="16">
        <v>108</v>
      </c>
      <c r="Q14" t="s" s="16">
        <v>109</v>
      </c>
      <c r="R14" t="s" s="16">
        <v>110</v>
      </c>
      <c r="S14" t="s" s="16">
        <v>111</v>
      </c>
      <c r="T14" t="s" s="16">
        <v>112</v>
      </c>
      <c r="U14" t="s" s="16">
        <v>113</v>
      </c>
      <c r="V14" t="s" s="16">
        <v>114</v>
      </c>
      <c r="W14" t="s" s="16">
        <v>115</v>
      </c>
      <c r="X14" t="s" s="16">
        <v>116</v>
      </c>
      <c r="Y14" t="s" s="16">
        <v>117</v>
      </c>
      <c r="Z14" t="s" s="16">
        <v>118</v>
      </c>
      <c r="AA14" t="s" s="16">
        <v>119</v>
      </c>
      <c r="AB14" t="s" s="16">
        <v>120</v>
      </c>
      <c r="AC14" t="s" s="16">
        <v>121</v>
      </c>
      <c r="AD14" t="s" s="16">
        <v>122</v>
      </c>
      <c r="AE14" t="s" s="16">
        <v>123</v>
      </c>
      <c r="AF14" t="s" s="16">
        <v>124</v>
      </c>
      <c r="AG14" t="s" s="16">
        <v>125</v>
      </c>
      <c r="AH14" t="s" s="16">
        <v>126</v>
      </c>
      <c r="AI14" t="s" s="16">
        <v>127</v>
      </c>
      <c r="AJ14" t="s" s="16">
        <v>128</v>
      </c>
      <c r="AK14" t="s" s="16">
        <v>129</v>
      </c>
      <c r="AL14" t="s" s="16">
        <v>130</v>
      </c>
      <c r="AM14" t="s" s="16">
        <v>131</v>
      </c>
      <c r="AN14" t="s" s="16">
        <v>132</v>
      </c>
      <c r="AO14" t="s" s="16">
        <v>133</v>
      </c>
      <c r="AP14" t="s" s="16">
        <v>134</v>
      </c>
      <c r="AQ14" t="s" s="16">
        <v>135</v>
      </c>
      <c r="AR14" t="s" s="16">
        <v>136</v>
      </c>
      <c r="AS14" t="s" s="16">
        <v>137</v>
      </c>
      <c r="AT14" t="s" s="16">
        <v>138</v>
      </c>
      <c r="AU14" t="s" s="16">
        <v>139</v>
      </c>
    </row>
    <row r="15" ht="92.05" customHeight="1">
      <c r="A15" t="s" s="9">
        <v>140</v>
      </c>
      <c r="B15" t="s" s="15">
        <v>141</v>
      </c>
      <c r="C15" s="21"/>
      <c r="D15" t="s" s="16">
        <v>142</v>
      </c>
      <c r="E15" t="s" s="16">
        <v>143</v>
      </c>
      <c r="F15" t="s" s="16">
        <v>144</v>
      </c>
      <c r="G15" t="s" s="16">
        <v>145</v>
      </c>
      <c r="H15" t="s" s="16">
        <v>146</v>
      </c>
      <c r="I15" s="21"/>
      <c r="J15" s="21"/>
      <c r="K15" t="s" s="16">
        <v>147</v>
      </c>
      <c r="L15" s="21"/>
      <c r="M15" s="21"/>
      <c r="N15" s="21"/>
      <c r="O15" t="s" s="16">
        <v>148</v>
      </c>
      <c r="P15" s="21"/>
      <c r="Q15" t="s" s="16">
        <v>149</v>
      </c>
      <c r="R15" t="s" s="16">
        <v>150</v>
      </c>
      <c r="S15" t="s" s="16">
        <v>150</v>
      </c>
      <c r="T15" s="21"/>
      <c r="U15" s="21"/>
      <c r="V15" s="21"/>
      <c r="W15" t="s" s="16">
        <v>151</v>
      </c>
      <c r="X15" s="21"/>
      <c r="Y15" t="s" s="16">
        <v>152</v>
      </c>
      <c r="Z15" t="s" s="16">
        <v>153</v>
      </c>
      <c r="AA15" t="s" s="16">
        <v>154</v>
      </c>
      <c r="AB15" t="s" s="16">
        <v>154</v>
      </c>
      <c r="AC15" t="s" s="16">
        <v>155</v>
      </c>
      <c r="AD15" t="s" s="16">
        <v>156</v>
      </c>
      <c r="AE15" t="s" s="16">
        <v>157</v>
      </c>
      <c r="AF15" t="s" s="16">
        <v>158</v>
      </c>
      <c r="AG15" s="21"/>
      <c r="AH15" s="21"/>
      <c r="AI15" s="21"/>
      <c r="AJ15" t="s" s="16">
        <v>159</v>
      </c>
      <c r="AK15" s="21"/>
      <c r="AL15" s="21"/>
      <c r="AM15" t="s" s="16">
        <v>160</v>
      </c>
      <c r="AN15" s="21"/>
      <c r="AO15" t="s" s="16">
        <v>156</v>
      </c>
      <c r="AP15" t="s" s="16">
        <v>161</v>
      </c>
      <c r="AQ15" t="s" s="16">
        <v>162</v>
      </c>
      <c r="AR15" s="21"/>
      <c r="AS15" s="21"/>
      <c r="AT15" s="21"/>
      <c r="AU15" t="s" s="16">
        <v>163</v>
      </c>
    </row>
    <row r="16" ht="20.05" customHeight="1">
      <c r="A16" s="19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ht="32.05" customHeight="1">
      <c r="A17" t="s" s="9">
        <v>164</v>
      </c>
      <c r="B17" t="s" s="27">
        <v>165</v>
      </c>
      <c r="C17" t="s" s="28">
        <v>166</v>
      </c>
      <c r="D17" t="s" s="28">
        <v>167</v>
      </c>
      <c r="E17" t="s" s="28">
        <v>168</v>
      </c>
      <c r="F17" t="s" s="28">
        <v>168</v>
      </c>
      <c r="G17" t="s" s="28">
        <v>169</v>
      </c>
      <c r="H17" t="s" s="28">
        <v>170</v>
      </c>
      <c r="I17" t="s" s="28">
        <v>171</v>
      </c>
      <c r="J17" t="s" s="28">
        <v>172</v>
      </c>
      <c r="K17" t="s" s="28">
        <v>173</v>
      </c>
      <c r="L17" t="s" s="28">
        <v>174</v>
      </c>
      <c r="M17" t="s" s="28">
        <v>175</v>
      </c>
      <c r="N17" t="s" s="28">
        <v>176</v>
      </c>
      <c r="O17" t="s" s="28">
        <v>177</v>
      </c>
      <c r="P17" t="s" s="28">
        <v>178</v>
      </c>
      <c r="Q17" t="s" s="28">
        <v>179</v>
      </c>
      <c r="R17" t="s" s="28">
        <v>169</v>
      </c>
      <c r="S17" t="s" s="28">
        <v>180</v>
      </c>
      <c r="T17" t="s" s="28">
        <v>181</v>
      </c>
      <c r="U17" t="s" s="28">
        <v>182</v>
      </c>
      <c r="V17" t="s" s="28">
        <v>183</v>
      </c>
      <c r="W17" t="s" s="28">
        <v>178</v>
      </c>
      <c r="X17" t="s" s="28">
        <v>184</v>
      </c>
      <c r="Y17" t="s" s="28">
        <v>178</v>
      </c>
      <c r="Z17" t="s" s="28">
        <v>178</v>
      </c>
      <c r="AA17" t="s" s="28">
        <v>185</v>
      </c>
      <c r="AB17" t="s" s="28">
        <v>178</v>
      </c>
      <c r="AC17" t="s" s="28">
        <v>178</v>
      </c>
      <c r="AD17" t="s" s="28">
        <v>186</v>
      </c>
      <c r="AE17" t="s" s="28">
        <v>186</v>
      </c>
      <c r="AF17" t="s" s="28">
        <v>187</v>
      </c>
      <c r="AG17" t="s" s="28">
        <v>188</v>
      </c>
      <c r="AH17" t="s" s="28">
        <v>189</v>
      </c>
      <c r="AI17" t="s" s="28">
        <v>190</v>
      </c>
      <c r="AJ17" t="s" s="28">
        <v>191</v>
      </c>
      <c r="AK17" t="s" s="28">
        <v>192</v>
      </c>
      <c r="AL17" t="s" s="28">
        <v>193</v>
      </c>
      <c r="AM17" t="s" s="28">
        <v>194</v>
      </c>
      <c r="AN17" t="s" s="28">
        <v>195</v>
      </c>
      <c r="AO17" t="s" s="28">
        <v>196</v>
      </c>
      <c r="AP17" t="s" s="28">
        <v>194</v>
      </c>
      <c r="AQ17" t="s" s="28">
        <v>197</v>
      </c>
      <c r="AR17" t="s" s="28">
        <v>198</v>
      </c>
      <c r="AS17" t="s" s="28">
        <v>194</v>
      </c>
      <c r="AT17" t="s" s="28">
        <v>199</v>
      </c>
      <c r="AU17" t="s" s="28">
        <v>200</v>
      </c>
    </row>
    <row r="18" ht="20.05" customHeight="1">
      <c r="A18" t="s" s="9">
        <v>201</v>
      </c>
      <c r="B18" s="29">
        <v>406</v>
      </c>
      <c r="C18" s="30">
        <v>406</v>
      </c>
      <c r="D18" s="30">
        <v>384</v>
      </c>
      <c r="E18" s="30">
        <v>396</v>
      </c>
      <c r="F18" s="30">
        <v>412</v>
      </c>
      <c r="G18" s="30">
        <v>436</v>
      </c>
      <c r="H18" s="30">
        <v>393</v>
      </c>
      <c r="I18" s="30">
        <v>439</v>
      </c>
      <c r="J18" s="30">
        <v>417</v>
      </c>
      <c r="K18" s="30">
        <v>375</v>
      </c>
      <c r="L18" s="30">
        <v>386</v>
      </c>
      <c r="M18" s="30">
        <v>378</v>
      </c>
      <c r="N18" s="30">
        <v>377</v>
      </c>
      <c r="O18" s="30">
        <v>367</v>
      </c>
      <c r="P18" s="30">
        <v>371</v>
      </c>
      <c r="Q18" s="30">
        <v>401</v>
      </c>
      <c r="R18" s="30">
        <v>370</v>
      </c>
      <c r="S18" s="30">
        <v>390</v>
      </c>
      <c r="T18" s="30">
        <v>334</v>
      </c>
      <c r="U18" s="30">
        <v>396</v>
      </c>
      <c r="V18" s="30">
        <v>319</v>
      </c>
      <c r="W18" s="30">
        <v>360</v>
      </c>
      <c r="X18" s="30">
        <v>365</v>
      </c>
      <c r="Y18" s="30">
        <v>390</v>
      </c>
      <c r="Z18" s="30">
        <v>373</v>
      </c>
      <c r="AA18" s="30">
        <v>356</v>
      </c>
      <c r="AB18" s="30">
        <v>360</v>
      </c>
      <c r="AC18" s="30">
        <v>364</v>
      </c>
      <c r="AD18" s="30">
        <v>417</v>
      </c>
      <c r="AE18" s="30">
        <v>380</v>
      </c>
      <c r="AF18" s="30">
        <v>401</v>
      </c>
      <c r="AG18" s="30" cm="1">
        <f t="array" ref="AG18">105/30*100</f>
        <v>350</v>
      </c>
      <c r="AH18" s="30">
        <v>382</v>
      </c>
      <c r="AI18" s="30">
        <v>405</v>
      </c>
      <c r="AJ18" s="30">
        <v>382</v>
      </c>
      <c r="AK18" s="30">
        <v>363</v>
      </c>
      <c r="AL18" s="30">
        <v>410</v>
      </c>
      <c r="AM18" s="30">
        <v>372</v>
      </c>
      <c r="AN18" s="30">
        <v>390</v>
      </c>
      <c r="AO18" s="30">
        <v>405</v>
      </c>
      <c r="AP18" s="30">
        <v>387</v>
      </c>
      <c r="AQ18" s="30">
        <v>325</v>
      </c>
      <c r="AR18" s="30">
        <v>385</v>
      </c>
      <c r="AS18" s="30">
        <v>394</v>
      </c>
      <c r="AT18" s="30">
        <v>402</v>
      </c>
      <c r="AU18" s="30">
        <v>372</v>
      </c>
    </row>
    <row r="19" ht="20.05" customHeight="1">
      <c r="A19" t="s" s="9">
        <v>202</v>
      </c>
      <c r="B19" s="12">
        <v>7.7</v>
      </c>
      <c r="C19" s="13">
        <v>7.8</v>
      </c>
      <c r="D19" s="13">
        <v>6.1</v>
      </c>
      <c r="E19" s="13">
        <v>5.8</v>
      </c>
      <c r="F19" s="13">
        <v>4.7</v>
      </c>
      <c r="G19" s="13">
        <v>1.5</v>
      </c>
      <c r="H19" s="13">
        <v>9.199999999999999</v>
      </c>
      <c r="I19" s="13">
        <v>7.8</v>
      </c>
      <c r="J19" s="13">
        <v>6.5</v>
      </c>
      <c r="K19" s="13">
        <v>3.2</v>
      </c>
      <c r="L19" s="13">
        <v>5.8</v>
      </c>
      <c r="M19" s="13">
        <v>4.9</v>
      </c>
      <c r="N19" s="13">
        <v>1.8</v>
      </c>
      <c r="O19" s="13">
        <v>0.5</v>
      </c>
      <c r="P19" s="13">
        <v>3.9</v>
      </c>
      <c r="Q19" s="13">
        <v>8.199999999999999</v>
      </c>
      <c r="R19" s="13">
        <v>2.3</v>
      </c>
      <c r="S19" s="13">
        <v>1.8</v>
      </c>
      <c r="T19" s="13">
        <v>0</v>
      </c>
      <c r="U19" s="13">
        <v>6.7</v>
      </c>
      <c r="V19" s="13">
        <v>0.2</v>
      </c>
      <c r="W19" s="13">
        <v>5.6</v>
      </c>
      <c r="X19" s="13">
        <v>7.1</v>
      </c>
      <c r="Y19" s="13">
        <v>6.8</v>
      </c>
      <c r="Z19" s="13">
        <v>0.9</v>
      </c>
      <c r="AA19" s="13">
        <v>2.3</v>
      </c>
      <c r="AB19" s="13">
        <v>0.6</v>
      </c>
      <c r="AC19" s="13">
        <v>1.7</v>
      </c>
      <c r="AD19" s="13">
        <v>6.6</v>
      </c>
      <c r="AE19" s="13">
        <v>5.7</v>
      </c>
      <c r="AF19" s="13">
        <v>7.6</v>
      </c>
      <c r="AG19" s="13" cm="1">
        <f t="array" ref="AG19">0.1/30*100</f>
        <v>0.333333333333333</v>
      </c>
      <c r="AH19" s="13">
        <v>6.3</v>
      </c>
      <c r="AI19" s="13">
        <v>6.1</v>
      </c>
      <c r="AJ19" s="13">
        <v>5.3</v>
      </c>
      <c r="AK19" s="13">
        <v>4.3</v>
      </c>
      <c r="AL19" s="13">
        <v>9.140000000000001</v>
      </c>
      <c r="AM19" s="13">
        <v>0.5</v>
      </c>
      <c r="AN19" s="13">
        <v>7.2</v>
      </c>
      <c r="AO19" s="13">
        <v>8.5</v>
      </c>
      <c r="AP19" s="13">
        <v>6</v>
      </c>
      <c r="AQ19" s="13">
        <v>0.1</v>
      </c>
      <c r="AR19" s="13">
        <v>5</v>
      </c>
      <c r="AS19" s="13">
        <v>7.1</v>
      </c>
      <c r="AT19" s="13">
        <v>8.6</v>
      </c>
      <c r="AU19" s="13">
        <v>6</v>
      </c>
    </row>
    <row r="20" ht="20.05" customHeight="1">
      <c r="A20" t="s" s="9">
        <v>203</v>
      </c>
      <c r="B20" s="12">
        <v>1.5</v>
      </c>
      <c r="C20" s="13">
        <v>1.6</v>
      </c>
      <c r="D20" s="13">
        <v>1.8</v>
      </c>
      <c r="E20" s="13">
        <v>1.1</v>
      </c>
      <c r="F20" s="13">
        <v>1.4</v>
      </c>
      <c r="G20" s="13">
        <v>1.1</v>
      </c>
      <c r="H20" s="13">
        <v>3.5</v>
      </c>
      <c r="I20" s="13">
        <v>2.1</v>
      </c>
      <c r="J20" s="13">
        <v>1.8</v>
      </c>
      <c r="K20" s="13">
        <v>0.9</v>
      </c>
      <c r="L20" s="13">
        <v>1.5</v>
      </c>
      <c r="M20" s="13">
        <v>1.2</v>
      </c>
      <c r="N20" s="13">
        <v>0.3</v>
      </c>
      <c r="O20" s="13">
        <v>0.2</v>
      </c>
      <c r="P20" s="13">
        <v>0.8</v>
      </c>
      <c r="Q20" s="13">
        <v>1.9</v>
      </c>
      <c r="R20" s="13">
        <v>1</v>
      </c>
      <c r="S20" s="13">
        <v>0.3</v>
      </c>
      <c r="T20" s="13">
        <v>0.1</v>
      </c>
      <c r="U20" s="13">
        <v>1.8</v>
      </c>
      <c r="V20" s="13">
        <v>0.1</v>
      </c>
      <c r="W20" s="13">
        <v>2</v>
      </c>
      <c r="X20" s="13">
        <v>1.4</v>
      </c>
      <c r="Y20" s="13">
        <v>1.4</v>
      </c>
      <c r="Z20" s="13">
        <v>0.2</v>
      </c>
      <c r="AA20" s="13">
        <v>0.5</v>
      </c>
      <c r="AB20" s="13">
        <v>0.1</v>
      </c>
      <c r="AC20" s="13">
        <v>0.9</v>
      </c>
      <c r="AD20" s="13">
        <v>1.8</v>
      </c>
      <c r="AE20" s="13">
        <v>1.7</v>
      </c>
      <c r="AF20" s="13">
        <v>1.3</v>
      </c>
      <c r="AG20" s="13" cm="1">
        <f t="array" ref="AG20">0.1/30*100</f>
        <v>0.333333333333333</v>
      </c>
      <c r="AH20" s="13">
        <v>1.5</v>
      </c>
      <c r="AI20" s="13">
        <v>1.1</v>
      </c>
      <c r="AJ20" s="13">
        <v>1.2</v>
      </c>
      <c r="AK20" s="13">
        <v>1.6</v>
      </c>
      <c r="AL20" s="13">
        <v>1.76</v>
      </c>
      <c r="AM20" s="13">
        <v>0.5</v>
      </c>
      <c r="AN20" s="13">
        <v>1.9</v>
      </c>
      <c r="AO20" s="13">
        <v>3.4</v>
      </c>
      <c r="AP20" s="13">
        <v>1</v>
      </c>
      <c r="AQ20" s="13">
        <v>0.1</v>
      </c>
      <c r="AR20" s="13">
        <v>0.3</v>
      </c>
      <c r="AS20" s="13">
        <v>1.5</v>
      </c>
      <c r="AT20" s="13">
        <v>2.2</v>
      </c>
      <c r="AU20" s="13">
        <v>2</v>
      </c>
    </row>
    <row r="21" ht="20.05" customHeight="1">
      <c r="A21" t="s" s="9">
        <v>204</v>
      </c>
      <c r="B21" s="12">
        <v>3.6</v>
      </c>
      <c r="C21" s="13">
        <v>3.5</v>
      </c>
      <c r="D21" s="13">
        <v>1.5</v>
      </c>
      <c r="E21" s="13">
        <v>5.5</v>
      </c>
      <c r="F21" s="13">
        <v>8.5</v>
      </c>
      <c r="G21" s="13">
        <v>1</v>
      </c>
      <c r="H21" s="13">
        <v>4.3</v>
      </c>
      <c r="I21" s="13">
        <v>8.1</v>
      </c>
      <c r="J21" s="13">
        <v>5.9</v>
      </c>
      <c r="K21" s="13">
        <v>4.7</v>
      </c>
      <c r="L21" s="13">
        <v>2</v>
      </c>
      <c r="M21" s="13">
        <v>6.4</v>
      </c>
      <c r="N21" s="13">
        <v>8.300000000000001</v>
      </c>
      <c r="O21" s="13">
        <v>15</v>
      </c>
      <c r="P21" s="13">
        <v>4.7</v>
      </c>
      <c r="Q21" s="13">
        <v>8.300000000000001</v>
      </c>
      <c r="R21" s="13">
        <v>2.9</v>
      </c>
      <c r="S21" s="13">
        <v>5.3</v>
      </c>
      <c r="T21" s="13">
        <v>4.3</v>
      </c>
      <c r="U21" s="13">
        <v>2.3</v>
      </c>
      <c r="V21" s="13">
        <v>2</v>
      </c>
      <c r="W21" s="13">
        <v>5.5</v>
      </c>
      <c r="X21" s="13">
        <v>5</v>
      </c>
      <c r="Y21" s="13">
        <v>3</v>
      </c>
      <c r="Z21" s="13">
        <v>0.9</v>
      </c>
      <c r="AA21" s="13">
        <v>4</v>
      </c>
      <c r="AB21" s="13">
        <v>6.2</v>
      </c>
      <c r="AC21" s="13">
        <v>5.9</v>
      </c>
      <c r="AD21" s="13">
        <v>14</v>
      </c>
      <c r="AE21" s="13">
        <v>4</v>
      </c>
      <c r="AF21" s="13">
        <v>0.5</v>
      </c>
      <c r="AG21" s="13" cm="1">
        <f t="array" ref="AG21">1.5/30*100</f>
        <v>5</v>
      </c>
      <c r="AH21" s="13">
        <v>5.5</v>
      </c>
      <c r="AI21" s="13">
        <v>6.2</v>
      </c>
      <c r="AJ21" s="13">
        <v>8.5</v>
      </c>
      <c r="AK21" s="13">
        <v>7.2</v>
      </c>
      <c r="AL21" s="13">
        <v>6.4</v>
      </c>
      <c r="AM21" s="13">
        <v>4.7</v>
      </c>
      <c r="AN21" s="13">
        <v>7.9</v>
      </c>
      <c r="AO21" s="13">
        <v>1.3</v>
      </c>
      <c r="AP21" s="13">
        <v>8.9</v>
      </c>
      <c r="AQ21" s="13">
        <v>7.6</v>
      </c>
      <c r="AR21" s="13">
        <v>1.5</v>
      </c>
      <c r="AS21" s="13">
        <v>4.6</v>
      </c>
      <c r="AT21" s="13">
        <v>2.6</v>
      </c>
      <c r="AU21" s="13">
        <v>6.9</v>
      </c>
    </row>
    <row r="22" ht="20.05" customHeight="1">
      <c r="A22" t="s" s="9">
        <v>205</v>
      </c>
      <c r="B22" s="12">
        <v>1.2</v>
      </c>
      <c r="C22" s="13">
        <v>1</v>
      </c>
      <c r="D22" s="13">
        <v>0.1</v>
      </c>
      <c r="E22" s="13">
        <v>3.2</v>
      </c>
      <c r="F22" s="13">
        <v>3.3</v>
      </c>
      <c r="G22" s="13">
        <v>1</v>
      </c>
      <c r="H22" s="13">
        <v>0.6</v>
      </c>
      <c r="I22" s="13">
        <v>3.8</v>
      </c>
      <c r="J22" s="13">
        <v>0.8</v>
      </c>
      <c r="K22" s="13">
        <v>2.5</v>
      </c>
      <c r="L22" s="13">
        <v>0.6</v>
      </c>
      <c r="M22" s="13">
        <v>0.9</v>
      </c>
      <c r="N22" s="13">
        <v>0.9</v>
      </c>
      <c r="O22" s="13">
        <v>2.7</v>
      </c>
      <c r="P22" s="13">
        <v>2.4</v>
      </c>
      <c r="Q22" s="13">
        <v>0.6</v>
      </c>
      <c r="R22" s="13">
        <v>1.2</v>
      </c>
      <c r="S22" s="13">
        <v>2.2</v>
      </c>
      <c r="T22" s="13">
        <v>0</v>
      </c>
      <c r="U22" s="13">
        <v>0.5</v>
      </c>
      <c r="V22" s="13">
        <v>1</v>
      </c>
      <c r="W22" s="13">
        <v>0.5</v>
      </c>
      <c r="X22" s="13">
        <v>1</v>
      </c>
      <c r="Y22" s="13">
        <v>0.2</v>
      </c>
      <c r="Z22" s="13">
        <v>0</v>
      </c>
      <c r="AA22" s="13">
        <v>0</v>
      </c>
      <c r="AB22" s="13">
        <v>0.1</v>
      </c>
      <c r="AC22" s="13">
        <v>0.1</v>
      </c>
      <c r="AD22" s="13">
        <v>0</v>
      </c>
      <c r="AE22" s="13">
        <v>4</v>
      </c>
      <c r="AF22" s="13">
        <v>0.5</v>
      </c>
      <c r="AG22" s="13" cm="1">
        <f t="array" ref="AG22">0.1/30*100</f>
        <v>0.333333333333333</v>
      </c>
      <c r="AH22" s="13">
        <v>1.7</v>
      </c>
      <c r="AI22" s="13">
        <v>0.9</v>
      </c>
      <c r="AJ22" s="13">
        <v>3.5</v>
      </c>
      <c r="AK22" s="13">
        <v>0.8</v>
      </c>
      <c r="AL22" s="13">
        <v>0</v>
      </c>
      <c r="AM22" s="13">
        <v>0.2</v>
      </c>
      <c r="AN22" s="13">
        <v>5.4</v>
      </c>
      <c r="AO22" s="13">
        <v>0.4</v>
      </c>
      <c r="AP22" s="13">
        <v>2.9</v>
      </c>
      <c r="AQ22" s="13">
        <v>2.1</v>
      </c>
      <c r="AR22" s="13">
        <v>0.3</v>
      </c>
      <c r="AS22" s="13">
        <v>0.3</v>
      </c>
      <c r="AT22" s="13">
        <v>0.5</v>
      </c>
      <c r="AU22" s="13">
        <v>1.8</v>
      </c>
    </row>
    <row r="23" ht="20.05" customHeight="1">
      <c r="A23" t="s" s="9">
        <v>206</v>
      </c>
      <c r="B23" s="12">
        <v>79.5</v>
      </c>
      <c r="C23" s="13">
        <v>80</v>
      </c>
      <c r="D23" s="13">
        <v>78.40000000000001</v>
      </c>
      <c r="E23" s="13">
        <v>68.3</v>
      </c>
      <c r="F23" s="13">
        <v>69.5</v>
      </c>
      <c r="G23" s="13">
        <v>84.7</v>
      </c>
      <c r="H23" s="13">
        <v>68</v>
      </c>
      <c r="I23" s="13">
        <v>82</v>
      </c>
      <c r="J23" s="13">
        <v>81.90000000000001</v>
      </c>
      <c r="K23" s="13">
        <v>82</v>
      </c>
      <c r="L23" s="13">
        <v>80.40000000000001</v>
      </c>
      <c r="M23" s="13">
        <v>75</v>
      </c>
      <c r="N23" s="13">
        <v>80</v>
      </c>
      <c r="O23" s="13">
        <v>75</v>
      </c>
      <c r="P23" s="13">
        <v>78</v>
      </c>
      <c r="Q23" s="13">
        <v>73</v>
      </c>
      <c r="R23" s="13">
        <v>83</v>
      </c>
      <c r="S23" s="13">
        <v>82</v>
      </c>
      <c r="T23" s="13">
        <v>71</v>
      </c>
      <c r="U23" s="13">
        <v>79</v>
      </c>
      <c r="V23" s="13">
        <v>77</v>
      </c>
      <c r="W23" s="13">
        <v>79</v>
      </c>
      <c r="X23" s="13">
        <v>70</v>
      </c>
      <c r="Y23" s="13">
        <v>78</v>
      </c>
      <c r="Z23" s="13">
        <v>88.2</v>
      </c>
      <c r="AA23" s="13">
        <v>82</v>
      </c>
      <c r="AB23" s="13">
        <v>86</v>
      </c>
      <c r="AC23" s="13">
        <v>84</v>
      </c>
      <c r="AD23" s="13">
        <v>73</v>
      </c>
      <c r="AE23" s="13">
        <v>79</v>
      </c>
      <c r="AF23" s="13">
        <v>81</v>
      </c>
      <c r="AG23" s="13" cm="1">
        <f t="array" ref="AG23">23/30*100</f>
        <v>76.6666666666667</v>
      </c>
      <c r="AH23" s="13">
        <v>75</v>
      </c>
      <c r="AI23" s="13">
        <v>80</v>
      </c>
      <c r="AJ23" s="13">
        <v>72</v>
      </c>
      <c r="AK23" s="13">
        <v>71</v>
      </c>
      <c r="AL23" s="13">
        <v>75.87</v>
      </c>
      <c r="AM23" s="13">
        <v>80</v>
      </c>
      <c r="AN23" s="13">
        <v>71</v>
      </c>
      <c r="AO23" s="13">
        <v>78.59999999999999</v>
      </c>
      <c r="AP23" s="13">
        <v>71</v>
      </c>
      <c r="AQ23" s="13">
        <v>72</v>
      </c>
      <c r="AR23" s="13">
        <v>82.7</v>
      </c>
      <c r="AS23" s="13">
        <v>76</v>
      </c>
      <c r="AT23" s="13">
        <v>72</v>
      </c>
      <c r="AU23" s="13">
        <v>72</v>
      </c>
    </row>
    <row r="24" ht="20.05" customHeight="1">
      <c r="A24" s="19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ht="20.05" customHeight="1">
      <c r="A25" t="s" s="9">
        <v>207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</row>
    <row r="26" ht="20.05" customHeight="1">
      <c r="A26" t="s" s="31">
        <v>208</v>
      </c>
      <c r="B26" s="12" cm="1">
        <f t="array" ref="B26">9.07*0.795</f>
        <v>7.21065</v>
      </c>
      <c r="C26" s="13" cm="1">
        <f t="array" ref="C26">1.8*4</f>
        <v>7.2</v>
      </c>
      <c r="D26" s="13" cm="1">
        <f t="array" ref="D26">11.2*0.784</f>
        <v>8.780799999999999</v>
      </c>
      <c r="E26" s="13" cm="1">
        <f t="array" ref="E26">7.6*0.683</f>
        <v>5.1908</v>
      </c>
      <c r="F26" s="13" cm="1">
        <f t="array" ref="F26">7.8*0.695</f>
        <v>5.421</v>
      </c>
      <c r="G26" s="13" cm="1">
        <f t="array" ref="G26">8.4*0.847</f>
        <v>7.1148</v>
      </c>
      <c r="H26" s="13" cm="1">
        <f t="array" ref="H26">7.8*0.695</f>
        <v>5.421</v>
      </c>
      <c r="I26" s="13" cm="1">
        <f t="array" ref="I26">9.07*0.82</f>
        <v>7.4374</v>
      </c>
      <c r="J26" s="13">
        <v>10</v>
      </c>
      <c r="K26" s="13" cm="1">
        <f t="array" ref="K26">8.3*0.82</f>
        <v>6.806</v>
      </c>
      <c r="L26" s="13" cm="1">
        <f t="array" ref="L26">10*0.804</f>
        <v>8.039999999999999</v>
      </c>
      <c r="M26" s="13" cm="1">
        <f t="array" ref="M26">8.2*0.75</f>
        <v>6.15</v>
      </c>
      <c r="N26" s="13">
        <v>5.6</v>
      </c>
      <c r="O26" s="13">
        <v>2.9</v>
      </c>
      <c r="P26" s="13" cm="1">
        <f t="array" ref="P26">8.1*0.78</f>
        <v>6.318</v>
      </c>
      <c r="Q26" s="13" cm="1">
        <f t="array" ref="Q26">8.5*0.73</f>
        <v>6.205</v>
      </c>
      <c r="R26" s="13">
        <v>6.8</v>
      </c>
      <c r="S26" s="13">
        <v>6.3</v>
      </c>
      <c r="T26" s="13" cm="1">
        <f t="array" ref="T26">7.7*0.71</f>
        <v>5.467</v>
      </c>
      <c r="U26" s="13" cm="1">
        <f t="array" ref="U26">11.7*0.79</f>
        <v>9.243</v>
      </c>
      <c r="V26" s="13" cm="1">
        <f t="array" ref="V26">16.2*0.77</f>
        <v>12.474</v>
      </c>
      <c r="W26" s="13" cm="1">
        <f t="array" ref="W26">8.5*0.79</f>
        <v>6.715</v>
      </c>
      <c r="X26" s="13" cm="1">
        <f t="array" ref="X26">8.1*0.7</f>
        <v>5.67</v>
      </c>
      <c r="Y26" s="13">
        <v>6.6</v>
      </c>
      <c r="Z26" s="13">
        <v>6.7</v>
      </c>
      <c r="AA26" s="13"/>
      <c r="AB26" s="13"/>
      <c r="AC26" s="13"/>
      <c r="AD26" s="13" cm="1">
        <f t="array" ref="AD26">8.7*0.73</f>
        <v>6.351</v>
      </c>
      <c r="AE26" s="13" cm="1">
        <f t="array" ref="AE26">9.2*0.79</f>
        <v>7.268</v>
      </c>
      <c r="AF26" s="13" cm="1">
        <f t="array" ref="AF26">8.5*0.81</f>
        <v>6.885</v>
      </c>
      <c r="AG26" s="13"/>
      <c r="AH26" s="13">
        <v>5.9</v>
      </c>
      <c r="AI26" s="13">
        <v>10.2</v>
      </c>
      <c r="AJ26" s="13">
        <v>5.8</v>
      </c>
      <c r="AK26" s="13">
        <v>5.6</v>
      </c>
      <c r="AL26" s="13" cm="1">
        <f t="array" ref="AL26">6.99/81.1*75.9</f>
        <v>6.54181257706535</v>
      </c>
      <c r="AM26" s="13">
        <v>10</v>
      </c>
      <c r="AN26" s="13" cm="1">
        <f t="array" ref="AN26">13.1*0.71</f>
        <v>9.301</v>
      </c>
      <c r="AO26" s="13" cm="1">
        <f t="array" ref="AO26">8.6*0.786</f>
        <v>6.7596</v>
      </c>
      <c r="AP26" s="13" cm="1">
        <f t="array" ref="AP26">7*0.71</f>
        <v>4.97</v>
      </c>
      <c r="AQ26" s="13">
        <v>6.6</v>
      </c>
      <c r="AR26" s="13" cm="1">
        <f t="array" ref="AR26">14.2*0.827</f>
        <v>11.7434</v>
      </c>
      <c r="AS26" s="13"/>
      <c r="AT26" s="13">
        <v>6.1</v>
      </c>
      <c r="AU26" s="13">
        <v>7.1</v>
      </c>
    </row>
    <row r="27" ht="20.05" customHeight="1">
      <c r="A27" t="s" s="31">
        <v>209</v>
      </c>
      <c r="B27" s="12" cm="1">
        <f t="array" ref="B27">5.07*0.795</f>
        <v>4.03065</v>
      </c>
      <c r="C27" s="13" cm="1">
        <f t="array" ref="C27">1*4</f>
        <v>4</v>
      </c>
      <c r="D27" s="13" cm="1">
        <f t="array" ref="D27">5.7*0.784</f>
        <v>4.4688</v>
      </c>
      <c r="E27" s="13" cm="1">
        <f t="array" ref="E27">4.2*0.683</f>
        <v>2.8686</v>
      </c>
      <c r="F27" s="13" cm="1">
        <f t="array" ref="F27">4.2*0.695</f>
        <v>2.919</v>
      </c>
      <c r="G27" s="13" cm="1">
        <f t="array" ref="G27">4.5*0.847</f>
        <v>3.8115</v>
      </c>
      <c r="H27" s="13">
        <v>3</v>
      </c>
      <c r="I27" s="13" cm="1">
        <f t="array" ref="I27">5.07*0.82</f>
        <v>4.1574</v>
      </c>
      <c r="J27" s="13">
        <v>5.3</v>
      </c>
      <c r="K27" s="13" cm="1">
        <f t="array" ref="K27">4.9*0.82</f>
        <v>4.018</v>
      </c>
      <c r="L27" s="13" cm="1">
        <f t="array" ref="L27">5.8*0.804</f>
        <v>4.6632</v>
      </c>
      <c r="M27" s="13" cm="1">
        <f t="array" ref="M27">4.7*0.75</f>
        <v>3.525</v>
      </c>
      <c r="N27" s="13">
        <v>3.1</v>
      </c>
      <c r="O27" s="13">
        <v>3.1</v>
      </c>
      <c r="P27" s="13" cm="1">
        <f t="array" ref="P27">4.5*0.78</f>
        <v>3.51</v>
      </c>
      <c r="Q27" s="13" cm="1">
        <f t="array" ref="Q27">4.5*0.73</f>
        <v>3.285</v>
      </c>
      <c r="R27" s="13">
        <v>4.1</v>
      </c>
      <c r="S27" s="13">
        <v>3.2</v>
      </c>
      <c r="T27" s="13" cm="1">
        <f t="array" ref="T27">7.7*0.71</f>
        <v>5.467</v>
      </c>
      <c r="U27" s="13" cm="1">
        <f t="array" ref="U27">5.3*0.79</f>
        <v>4.187</v>
      </c>
      <c r="V27" s="13" cm="1">
        <f t="array" ref="V27">5.6*0.77</f>
        <v>4.312</v>
      </c>
      <c r="W27" s="13" cm="1">
        <f t="array" ref="W27">4.6*0.79</f>
        <v>3.634</v>
      </c>
      <c r="X27" s="13" cm="1">
        <f t="array" ref="X27">4.5*0.7</f>
        <v>3.15</v>
      </c>
      <c r="Y27" s="13">
        <v>3.6</v>
      </c>
      <c r="Z27" s="13">
        <v>3.7</v>
      </c>
      <c r="AA27" s="13"/>
      <c r="AB27" s="13"/>
      <c r="AC27" s="13"/>
      <c r="AD27" s="13" cm="1">
        <f t="array" ref="AD27">4.7*0.73</f>
        <v>3.431</v>
      </c>
      <c r="AE27" s="13" cm="1">
        <f t="array" ref="AE27">4.9*0.79</f>
        <v>3.871</v>
      </c>
      <c r="AF27" s="13" cm="1">
        <f t="array" ref="AF27">4.7*0.81</f>
        <v>3.807</v>
      </c>
      <c r="AG27" s="13"/>
      <c r="AH27" s="13">
        <v>3.8</v>
      </c>
      <c r="AI27" s="13">
        <v>5</v>
      </c>
      <c r="AJ27" s="13">
        <v>3.2</v>
      </c>
      <c r="AK27" s="13">
        <v>3.2</v>
      </c>
      <c r="AL27" s="13" cm="1">
        <f t="array" ref="AL27">4.45/81.1*75.9</f>
        <v>4.16467324290999</v>
      </c>
      <c r="AM27" s="13">
        <v>3.92</v>
      </c>
      <c r="AN27" s="13" cm="1">
        <f t="array" ref="AN27">6.6*0.71</f>
        <v>4.686</v>
      </c>
      <c r="AO27" s="13" cm="1">
        <f t="array" ref="AO27">4.2*0.786</f>
        <v>3.3012</v>
      </c>
      <c r="AP27" s="13" cm="1">
        <f t="array" ref="AP27">3.43*0.71</f>
        <v>2.4353</v>
      </c>
      <c r="AQ27" s="13">
        <v>3.8</v>
      </c>
      <c r="AR27" s="13" cm="1">
        <f t="array" ref="AR27">7.7*0.827</f>
        <v>6.3679</v>
      </c>
      <c r="AS27" s="13"/>
      <c r="AT27" s="13">
        <v>3.4</v>
      </c>
      <c r="AU27" s="13">
        <v>3.5</v>
      </c>
    </row>
    <row r="28" ht="20.05" customHeight="1">
      <c r="A28" t="s" s="31">
        <v>210</v>
      </c>
      <c r="B28" s="12" cm="1">
        <f t="array" ref="B28">5.45*0.795</f>
        <v>4.33275</v>
      </c>
      <c r="C28" s="13" cm="1">
        <f t="array" ref="C28">1*4</f>
        <v>4</v>
      </c>
      <c r="D28" s="13" cm="1">
        <f t="array" ref="D28">5.7*0.784</f>
        <v>4.4688</v>
      </c>
      <c r="E28" s="13" cm="1">
        <f t="array" ref="E28">5.3*0.683</f>
        <v>3.6199</v>
      </c>
      <c r="F28" s="13" cm="1">
        <f t="array" ref="F28">5.3*0.695</f>
        <v>3.6835</v>
      </c>
      <c r="G28" s="13" cm="1">
        <f t="array" ref="G28">6.2*0.847</f>
        <v>5.2514</v>
      </c>
      <c r="H28" s="13">
        <v>3.2</v>
      </c>
      <c r="I28" s="13" cm="1">
        <f t="array" ref="I28">5.45*0.82</f>
        <v>4.469</v>
      </c>
      <c r="J28" s="13">
        <v>5.6</v>
      </c>
      <c r="K28" s="13" cm="1">
        <f t="array" ref="K28">5*0.82</f>
        <v>4.1</v>
      </c>
      <c r="L28" s="13" cm="1">
        <f t="array" ref="L28">6*0.804</f>
        <v>4.824</v>
      </c>
      <c r="M28" s="13" cm="1">
        <f t="array" ref="M28">5*0.75</f>
        <v>3.75</v>
      </c>
      <c r="N28" s="13">
        <v>4.4</v>
      </c>
      <c r="O28" s="13">
        <v>4.4</v>
      </c>
      <c r="P28" s="13" cm="1">
        <f t="array" ref="P28">4.7*0.78</f>
        <v>3.666</v>
      </c>
      <c r="Q28" s="13" cm="1">
        <f t="array" ref="Q28">5.2*0.73</f>
        <v>3.796</v>
      </c>
      <c r="R28" s="13">
        <v>4.1</v>
      </c>
      <c r="S28" s="13">
        <v>3.7</v>
      </c>
      <c r="T28" s="13" cm="1">
        <f t="array" ref="T28">4.7*0.71</f>
        <v>3.337</v>
      </c>
      <c r="U28" s="13" cm="1">
        <f t="array" ref="U28">6*0.79</f>
        <v>4.74</v>
      </c>
      <c r="V28" s="13" cm="1">
        <f t="array" ref="V28">9.3*0.77</f>
        <v>7.161</v>
      </c>
      <c r="W28" s="13" cm="1">
        <f t="array" ref="W28">7.9*0.79</f>
        <v>6.241</v>
      </c>
      <c r="X28" s="13" cm="1">
        <f t="array" ref="X28">6.5*0.7</f>
        <v>4.55</v>
      </c>
      <c r="Y28" s="13">
        <v>3.9</v>
      </c>
      <c r="Z28" s="13">
        <v>4</v>
      </c>
      <c r="AA28" s="13"/>
      <c r="AB28" s="13"/>
      <c r="AC28" s="13"/>
      <c r="AD28" s="13" cm="1">
        <f t="array" ref="AD28">5.2*0.73</f>
        <v>3.796</v>
      </c>
      <c r="AE28" s="13" cm="1">
        <f t="array" ref="AE28">5.3*0.79</f>
        <v>4.187</v>
      </c>
      <c r="AF28" s="13" cm="1">
        <f t="array" ref="AF28">5.2*0.81</f>
        <v>4.212</v>
      </c>
      <c r="AG28" s="13"/>
      <c r="AH28" s="13">
        <v>3.8</v>
      </c>
      <c r="AI28" s="13">
        <v>5.2</v>
      </c>
      <c r="AJ28" s="13">
        <v>3.3</v>
      </c>
      <c r="AK28" s="13">
        <v>3.2</v>
      </c>
      <c r="AL28" s="13" cm="1">
        <f t="array" ref="AL28">5.03/81.1*75.9</f>
        <v>4.70748458692972</v>
      </c>
      <c r="AM28" s="13">
        <v>4.01</v>
      </c>
      <c r="AN28" s="13" cm="1">
        <f t="array" ref="AN28">8*0.71</f>
        <v>5.68</v>
      </c>
      <c r="AO28" s="13" cm="1">
        <f t="array" ref="AO28">6.1*0.786</f>
        <v>4.7946</v>
      </c>
      <c r="AP28" s="13" cm="1">
        <f t="array" ref="AP28">4*0.71</f>
        <v>2.84</v>
      </c>
      <c r="AQ28" s="13">
        <v>4.1</v>
      </c>
      <c r="AR28" s="13" cm="1">
        <f t="array" ref="AR28">8.2*0.827</f>
        <v>6.7814</v>
      </c>
      <c r="AS28" s="13"/>
      <c r="AT28" s="13">
        <v>4</v>
      </c>
      <c r="AU28" s="13">
        <v>4.5</v>
      </c>
    </row>
    <row r="29" ht="20.05" customHeight="1">
      <c r="A29" t="s" s="9">
        <v>211</v>
      </c>
      <c r="B29" s="32" cm="1">
        <f t="array" ref="B29">SUM(B26:B28)</f>
        <v>15.57405</v>
      </c>
      <c r="C29" s="33" cm="1">
        <f t="array" ref="C29">SUM(C26:C28)</f>
        <v>15.2</v>
      </c>
      <c r="D29" s="33" cm="1">
        <f t="array" ref="D29">SUM(D26:D28)</f>
        <v>17.7184</v>
      </c>
      <c r="E29" s="33" cm="1">
        <f t="array" ref="E29">SUM(E26:E28)</f>
        <v>11.6793</v>
      </c>
      <c r="F29" s="33" cm="1">
        <f t="array" ref="F29">SUM(F26:F28)</f>
        <v>12.0235</v>
      </c>
      <c r="G29" s="33" cm="1">
        <f t="array" ref="G29">SUM(G26:G28)</f>
        <v>16.1777</v>
      </c>
      <c r="H29" s="33" cm="1">
        <f t="array" ref="H29">SUM(H26:H28)</f>
        <v>11.621</v>
      </c>
      <c r="I29" s="33" cm="1">
        <f t="array" ref="I29">SUM(I26:I28)</f>
        <v>16.0638</v>
      </c>
      <c r="J29" s="33" cm="1">
        <f t="array" ref="J29">SUM(J26:J28)</f>
        <v>20.9</v>
      </c>
      <c r="K29" s="33" cm="1">
        <f t="array" ref="K29">SUM(K26:K28)</f>
        <v>14.924</v>
      </c>
      <c r="L29" s="33" cm="1">
        <f t="array" ref="L29">SUM(L26:L28)</f>
        <v>17.5272</v>
      </c>
      <c r="M29" s="33" cm="1">
        <f t="array" ref="M29">SUM(M26:M28)</f>
        <v>13.425</v>
      </c>
      <c r="N29" s="33" cm="1">
        <f t="array" ref="N29">SUM(N26:N28)</f>
        <v>13.1</v>
      </c>
      <c r="O29" s="33" cm="1">
        <f t="array" ref="O29">SUM(O26:O28)</f>
        <v>10.4</v>
      </c>
      <c r="P29" s="33" cm="1">
        <f t="array" ref="P29">SUM(P26:P28)</f>
        <v>13.494</v>
      </c>
      <c r="Q29" s="33" cm="1">
        <f t="array" ref="Q29">SUM(Q26:Q28)</f>
        <v>13.286</v>
      </c>
      <c r="R29" s="33" cm="1">
        <f t="array" ref="R29">SUM(R26:R28)</f>
        <v>15</v>
      </c>
      <c r="S29" s="33" cm="1">
        <f t="array" ref="S29">SUM(S26:S28)</f>
        <v>13.2</v>
      </c>
      <c r="T29" s="33" cm="1">
        <f t="array" ref="T29">SUM(T26:T28)</f>
        <v>14.271</v>
      </c>
      <c r="U29" s="33" cm="1">
        <f t="array" ref="U29">SUM(U26:U28)</f>
        <v>18.17</v>
      </c>
      <c r="V29" s="33" cm="1">
        <f t="array" ref="V29">SUM(V26:V28)</f>
        <v>23.947</v>
      </c>
      <c r="W29" s="33" cm="1">
        <f t="array" ref="W29">SUM(W26:W28)</f>
        <v>16.59</v>
      </c>
      <c r="X29" s="33" cm="1">
        <f t="array" ref="X29">SUM(X26:X28)</f>
        <v>13.37</v>
      </c>
      <c r="Y29" s="33" cm="1">
        <f t="array" ref="Y29">SUM(Y26:Y28)</f>
        <v>14.1</v>
      </c>
      <c r="Z29" s="33" cm="1">
        <f t="array" ref="Z29">SUM(Z26:Z28)</f>
        <v>14.4</v>
      </c>
      <c r="AA29" s="33" cm="1">
        <f t="array" ref="AA29">SUM(AA26:AA28)</f>
        <v>0</v>
      </c>
      <c r="AB29" s="33" cm="1">
        <f t="array" ref="AB29">SUM(AB26:AB28)</f>
        <v>0</v>
      </c>
      <c r="AC29" s="33" cm="1">
        <f t="array" ref="AC29">SUM(AC26:AC28)</f>
        <v>0</v>
      </c>
      <c r="AD29" s="33" cm="1">
        <f t="array" ref="AD29">SUM(AD26:AD28)</f>
        <v>13.578</v>
      </c>
      <c r="AE29" s="33" cm="1">
        <f t="array" ref="AE29">SUM(AE26:AE28)</f>
        <v>15.326</v>
      </c>
      <c r="AF29" s="33" cm="1">
        <f t="array" ref="AF29">SUM(AF26:AF28)</f>
        <v>14.904</v>
      </c>
      <c r="AG29" s="33" cm="1">
        <f t="array" ref="AG29">SUM(AG26:AG28)</f>
        <v>0</v>
      </c>
      <c r="AH29" s="33" cm="1">
        <f t="array" ref="AH29">SUM(AH26:AH28)</f>
        <v>13.5</v>
      </c>
      <c r="AI29" s="33" cm="1">
        <f t="array" ref="AI29">SUM(AI26:AI28)</f>
        <v>20.4</v>
      </c>
      <c r="AJ29" s="33" cm="1">
        <f t="array" ref="AJ29">SUM(AJ26:AJ28)</f>
        <v>12.3</v>
      </c>
      <c r="AK29" s="33" cm="1">
        <f t="array" ref="AK29">SUM(AK26:AK28)</f>
        <v>12</v>
      </c>
      <c r="AL29" s="33" cm="1">
        <f t="array" ref="AL29">SUM(AL26:AL28)</f>
        <v>15.4139704069051</v>
      </c>
      <c r="AM29" s="33" cm="1">
        <f t="array" ref="AM29">SUM(AM26:AM28)</f>
        <v>17.93</v>
      </c>
      <c r="AN29" s="33" cm="1">
        <f t="array" ref="AN29">SUM(AN26:AN28)</f>
        <v>19.667</v>
      </c>
      <c r="AO29" s="33" cm="1">
        <f t="array" ref="AO29">SUM(AO26:AO28)</f>
        <v>14.8554</v>
      </c>
      <c r="AP29" s="33" cm="1">
        <f t="array" ref="AP29">SUM(AP26:AP28)</f>
        <v>10.2453</v>
      </c>
      <c r="AQ29" s="33" cm="1">
        <f t="array" ref="AQ29">SUM(AQ26:AQ28)</f>
        <v>14.5</v>
      </c>
      <c r="AR29" s="33" cm="1">
        <f t="array" ref="AR29">SUM(AR26:AR28)</f>
        <v>24.8927</v>
      </c>
      <c r="AS29" s="33" cm="1">
        <f t="array" ref="AS29">SUM(AS26:AS28)</f>
        <v>0</v>
      </c>
      <c r="AT29" s="33" cm="1">
        <f t="array" ref="AT29">SUM(AT26:AT28)</f>
        <v>13.5</v>
      </c>
      <c r="AU29" s="33" cm="1">
        <f t="array" ref="AU29">SUM(AU26:AU28)</f>
        <v>15.1</v>
      </c>
    </row>
    <row r="30" ht="20.05" customHeight="1">
      <c r="A30" t="s" s="31">
        <v>212</v>
      </c>
      <c r="B30" s="12" cm="1">
        <f t="array" ref="B30">7.93*0.795</f>
        <v>6.30435</v>
      </c>
      <c r="C30" s="13" cm="1">
        <f t="array" ref="C30">1.5*4</f>
        <v>6</v>
      </c>
      <c r="D30" s="13" cm="1">
        <f t="array" ref="D30">8.8*0.784</f>
        <v>6.8992</v>
      </c>
      <c r="E30" s="13" cm="1">
        <f t="array" ref="E30">3.6*0.683</f>
        <v>2.4588</v>
      </c>
      <c r="F30" s="13" cm="1">
        <f t="array" ref="F30">3.5*0.695</f>
        <v>2.4325</v>
      </c>
      <c r="G30" s="13" cm="1">
        <f t="array" ref="G30">3.4*0.847</f>
        <v>2.8798</v>
      </c>
      <c r="H30" s="13">
        <v>4.3</v>
      </c>
      <c r="I30" s="13" cm="1">
        <f t="array" ref="I30">7.93*0.82</f>
        <v>6.5026</v>
      </c>
      <c r="J30" s="13">
        <v>7.1</v>
      </c>
      <c r="K30" s="13" cm="1">
        <f t="array" ref="K30">6.4*0.82</f>
        <v>5.248</v>
      </c>
      <c r="L30" s="13" cm="1">
        <f t="array" ref="L30">7.9*0.804</f>
        <v>6.3516</v>
      </c>
      <c r="M30" s="13" cm="1">
        <f t="array" ref="M30">6.8*0.75</f>
        <v>5.1</v>
      </c>
      <c r="N30" s="13">
        <v>2.5</v>
      </c>
      <c r="O30" s="13">
        <v>2.6</v>
      </c>
      <c r="P30" s="13" cm="1">
        <f t="array" ref="P30">6.6*0.78</f>
        <v>5.148</v>
      </c>
      <c r="Q30" s="13" cm="1">
        <f t="array" ref="Q30">6.9*0.73</f>
        <v>5.037</v>
      </c>
      <c r="R30" s="13">
        <v>5.4</v>
      </c>
      <c r="S30" s="13">
        <v>3.5</v>
      </c>
      <c r="T30" s="13" cm="1">
        <f t="array" ref="T30">7.2*0.71</f>
        <v>5.112</v>
      </c>
      <c r="U30" s="13" cm="1">
        <f t="array" ref="U30">9.4*0.79</f>
        <v>7.426</v>
      </c>
      <c r="V30" s="13" cm="1">
        <f t="array" ref="V30">6.1*0.77</f>
        <v>4.697</v>
      </c>
      <c r="W30" s="13" cm="1">
        <f t="array" ref="W30">6*0.79</f>
        <v>4.74</v>
      </c>
      <c r="X30" s="13" cm="1">
        <f t="array" ref="X30">6.1*0.7</f>
        <v>4.27</v>
      </c>
      <c r="Y30" s="13">
        <v>5</v>
      </c>
      <c r="Z30" s="13">
        <v>5.6</v>
      </c>
      <c r="AA30" s="13"/>
      <c r="AB30" s="13"/>
      <c r="AC30" s="13"/>
      <c r="AD30" s="13" cm="1">
        <f t="array" ref="AD30">7.3*0.73</f>
        <v>5.329</v>
      </c>
      <c r="AE30" s="13" cm="1">
        <f t="array" ref="AE30">10.9*0.79</f>
        <v>8.611000000000001</v>
      </c>
      <c r="AF30" s="13" cm="1">
        <f t="array" ref="AF30">7.1*0.81</f>
        <v>5.751</v>
      </c>
      <c r="AG30" s="13"/>
      <c r="AH30" s="13">
        <v>4.9</v>
      </c>
      <c r="AI30" s="13">
        <v>4.8</v>
      </c>
      <c r="AJ30" s="13">
        <v>4.3</v>
      </c>
      <c r="AK30" s="13">
        <v>4.3</v>
      </c>
      <c r="AL30" s="13" cm="1">
        <f t="array" ref="AL30">7.6/81.1*75.9</f>
        <v>7.11270036991369</v>
      </c>
      <c r="AM30" s="13">
        <v>5.01</v>
      </c>
      <c r="AN30" s="13" cm="1">
        <f t="array" ref="AN30">5.1*0.71</f>
        <v>3.621</v>
      </c>
      <c r="AO30" s="13" cm="1">
        <f t="array" ref="AO30">5.4*0.786</f>
        <v>4.2444</v>
      </c>
      <c r="AP30" s="13" cm="1">
        <f t="array" ref="AP30">6.29*0.71</f>
        <v>4.4659</v>
      </c>
      <c r="AQ30" s="13">
        <v>5.9</v>
      </c>
      <c r="AR30" s="13" cm="1">
        <f t="array" ref="AR30">5.1*0.827</f>
        <v>4.2177</v>
      </c>
      <c r="AS30" s="13"/>
      <c r="AT30" s="13">
        <v>5</v>
      </c>
      <c r="AU30" s="13">
        <v>4.2</v>
      </c>
    </row>
    <row r="31" ht="20.05" customHeight="1">
      <c r="A31" t="s" s="31">
        <v>213</v>
      </c>
      <c r="B31" s="12" cm="1">
        <f t="array" ref="B31">3.78*0.795</f>
        <v>3.0051</v>
      </c>
      <c r="C31" s="13" cm="1">
        <f t="array" ref="C31">0.8*4</f>
        <v>3.2</v>
      </c>
      <c r="D31" s="13" cm="1">
        <f t="array" ref="D31">2.6*0.784</f>
        <v>2.0384</v>
      </c>
      <c r="E31" s="13" cm="1">
        <f t="array" ref="E31">3.1*0.683</f>
        <v>2.1173</v>
      </c>
      <c r="F31" s="13" cm="1">
        <f t="array" ref="F31">3.2*0.695</f>
        <v>2.224</v>
      </c>
      <c r="G31" s="13" cm="1">
        <f t="array" ref="G31">3.6*0.847</f>
        <v>3.0492</v>
      </c>
      <c r="H31" s="13">
        <v>2.5</v>
      </c>
      <c r="I31" s="13" cm="1">
        <f t="array" ref="I31">3.78*0.82</f>
        <v>3.0996</v>
      </c>
      <c r="J31" s="13">
        <v>3.3</v>
      </c>
      <c r="K31" s="13" cm="1">
        <f t="array" ref="K31">3.8*0.82</f>
        <v>3.116</v>
      </c>
      <c r="L31" s="13" cm="1">
        <f t="array" ref="L31">3.3*0.804</f>
        <v>2.6532</v>
      </c>
      <c r="M31" s="13" cm="1">
        <f t="array" ref="M31">3.8*0.75</f>
        <v>2.85</v>
      </c>
      <c r="N31" s="13">
        <v>2.9</v>
      </c>
      <c r="O31" s="13">
        <v>2.9</v>
      </c>
      <c r="P31" s="13" cm="1">
        <f t="array" ref="P31">4*0.78</f>
        <v>3.12</v>
      </c>
      <c r="Q31" s="13" cm="1">
        <f t="array" ref="Q31">3.9*0.73</f>
        <v>2.847</v>
      </c>
      <c r="R31" s="13">
        <v>3.2</v>
      </c>
      <c r="S31" s="13">
        <v>2.4</v>
      </c>
      <c r="T31" s="13" cm="1">
        <f t="array" ref="T31">3.3*0.71</f>
        <v>2.343</v>
      </c>
      <c r="U31" s="13" cm="1">
        <f t="array" ref="U31">4.3*0.79</f>
        <v>3.397</v>
      </c>
      <c r="V31" s="13" cm="1">
        <f t="array" ref="V31">2.6*0.77</f>
        <v>2.002</v>
      </c>
      <c r="W31" s="13" cm="1">
        <f t="array" ref="W31">3.6*0.79</f>
        <v>2.844</v>
      </c>
      <c r="X31" s="13" cm="1">
        <f t="array" ref="X31">3.4*0.7</f>
        <v>2.38</v>
      </c>
      <c r="Y31" s="13">
        <v>2.8</v>
      </c>
      <c r="Z31" s="13">
        <v>3.1</v>
      </c>
      <c r="AA31" s="13"/>
      <c r="AB31" s="13"/>
      <c r="AC31" s="13"/>
      <c r="AD31" s="13" cm="1">
        <f t="array" ref="AD31">3.7*0.73</f>
        <v>2.701</v>
      </c>
      <c r="AE31" s="13" cm="1">
        <f t="array" ref="AE31">8.6*0.79</f>
        <v>6.794</v>
      </c>
      <c r="AF31" s="13" cm="1">
        <f t="array" ref="AF31">3.7*0.81</f>
        <v>2.997</v>
      </c>
      <c r="AG31" s="13"/>
      <c r="AH31" s="13">
        <v>2.9</v>
      </c>
      <c r="AI31" s="13">
        <v>2.7</v>
      </c>
      <c r="AJ31" s="13">
        <v>2.6</v>
      </c>
      <c r="AK31" s="13">
        <v>2.6</v>
      </c>
      <c r="AL31" s="13" cm="1">
        <f t="array" ref="AL31">4.56/81.1*75.9</f>
        <v>4.26762022194821</v>
      </c>
      <c r="AM31" s="13">
        <v>1.09</v>
      </c>
      <c r="AN31" s="13" cm="1">
        <f t="array" ref="AN31">3*0.71</f>
        <v>2.13</v>
      </c>
      <c r="AO31" s="13" cm="1">
        <f t="array" ref="AO31">3*0.786</f>
        <v>2.358</v>
      </c>
      <c r="AP31" s="13" cm="1">
        <f t="array" ref="AP31">3*0.71</f>
        <v>2.13</v>
      </c>
      <c r="AQ31" s="13">
        <v>2.9</v>
      </c>
      <c r="AR31" s="13" cm="1">
        <f t="array" ref="AR31">6.4*0.827</f>
        <v>5.2928</v>
      </c>
      <c r="AS31" s="13"/>
      <c r="AT31" s="13">
        <v>2.6</v>
      </c>
      <c r="AU31" s="13">
        <v>2.7</v>
      </c>
    </row>
    <row r="32" ht="20.05" customHeight="1">
      <c r="A32" t="s" s="31">
        <v>214</v>
      </c>
      <c r="B32" s="12" cm="1">
        <f t="array" ref="B32">5.96*0.795</f>
        <v>4.7382</v>
      </c>
      <c r="C32" s="13" cm="1">
        <f t="array" ref="C32">1.1*4</f>
        <v>4.4</v>
      </c>
      <c r="D32" s="13" cm="1">
        <f t="array" ref="D32">4.9*0.784</f>
        <v>3.8416</v>
      </c>
      <c r="E32" s="13" cm="1">
        <f t="array" ref="E32">5.4*0.683</f>
        <v>3.6882</v>
      </c>
      <c r="F32" s="13" cm="1">
        <f t="array" ref="F32">5.5*0.695</f>
        <v>3.8225</v>
      </c>
      <c r="G32" s="13" cm="1">
        <f t="array" ref="G32">5.6*0.847</f>
        <v>4.7432</v>
      </c>
      <c r="H32" s="13">
        <v>3.4</v>
      </c>
      <c r="I32" s="13" cm="1">
        <f t="array" ref="I32">5.96*0.82</f>
        <v>4.8872</v>
      </c>
      <c r="J32" s="13">
        <v>3.4</v>
      </c>
      <c r="K32" s="13" cm="1">
        <f t="array" ref="K32">5.3*0.82</f>
        <v>4.346</v>
      </c>
      <c r="L32" s="13" cm="1">
        <f t="array" ref="L32">4.7</f>
        <v>4.7</v>
      </c>
      <c r="M32" s="13" cm="1">
        <f t="array" ref="M32">5.5*0.75</f>
        <v>4.125</v>
      </c>
      <c r="N32" s="13">
        <v>4.8</v>
      </c>
      <c r="O32" s="13">
        <v>4.8</v>
      </c>
      <c r="P32" s="13" cm="1">
        <f t="array" ref="P32">5.3*0.78</f>
        <v>4.134</v>
      </c>
      <c r="Q32" s="13" cm="1">
        <f t="array" ref="Q32">5.6*0.73</f>
        <v>4.088</v>
      </c>
      <c r="R32" s="13">
        <v>4.6</v>
      </c>
      <c r="S32" s="13">
        <v>3.8</v>
      </c>
      <c r="T32" s="13" cm="1">
        <f t="array" ref="T32">4.8*0.71</f>
        <v>3.408</v>
      </c>
      <c r="U32" s="13" cm="1">
        <f t="array" ref="U32">4.4*0.79</f>
        <v>3.476</v>
      </c>
      <c r="V32" s="13" cm="1">
        <f t="array" ref="V32">4.4*0.77</f>
        <v>3.388</v>
      </c>
      <c r="W32" s="13" cm="1">
        <f t="array" ref="W32">5.2*0.79</f>
        <v>4.108</v>
      </c>
      <c r="X32" s="13" cm="1">
        <f t="array" ref="X32">5*0.7</f>
        <v>3.5</v>
      </c>
      <c r="Y32" s="13">
        <v>4</v>
      </c>
      <c r="Z32" s="13">
        <v>4.7</v>
      </c>
      <c r="AA32" s="13"/>
      <c r="AB32" s="13"/>
      <c r="AC32" s="13"/>
      <c r="AD32" s="13" cm="1">
        <f t="array" ref="AD32">5.4*0.73</f>
        <v>3.942</v>
      </c>
      <c r="AE32" s="13" cm="1">
        <f t="array" ref="AE32">4.6*0.79</f>
        <v>3.634</v>
      </c>
      <c r="AF32" s="13" cm="1">
        <f t="array" ref="AF32">5.4*0.81</f>
        <v>4.374</v>
      </c>
      <c r="AG32" s="13"/>
      <c r="AH32" s="13">
        <v>3.9</v>
      </c>
      <c r="AI32" s="13">
        <v>3.7</v>
      </c>
      <c r="AJ32" s="13">
        <v>3.7</v>
      </c>
      <c r="AK32" s="13">
        <v>3.6</v>
      </c>
      <c r="AL32" s="13" cm="1">
        <f t="array" ref="AL32">4.18/81.1*75.9</f>
        <v>3.91198520345253</v>
      </c>
      <c r="AM32" s="13">
        <v>5.1</v>
      </c>
      <c r="AN32" s="13" cm="1">
        <f t="array" ref="AN32">4.8*0.71</f>
        <v>3.408</v>
      </c>
      <c r="AO32" s="13" cm="1">
        <f t="array" ref="AO32">5.4*0.786</f>
        <v>4.2444</v>
      </c>
      <c r="AP32" s="13" cm="1">
        <f t="array" ref="AP32">4.43*0.71</f>
        <v>3.1453</v>
      </c>
      <c r="AQ32" s="13">
        <v>4.4</v>
      </c>
      <c r="AR32" s="13" cm="1">
        <f t="array" ref="AR32">3.7*0.827</f>
        <v>3.0599</v>
      </c>
      <c r="AS32" s="13"/>
      <c r="AT32" s="13" cm="1">
        <f t="array" ref="AT32">5.9*0.702</f>
        <v>4.1418</v>
      </c>
      <c r="AU32" s="13">
        <v>3.7</v>
      </c>
    </row>
    <row r="33" ht="20.05" customHeight="1">
      <c r="A33" t="s" s="31">
        <v>215</v>
      </c>
      <c r="B33" s="12" cm="1">
        <f t="array" ref="B33">0.67*0.795</f>
        <v>0.53265</v>
      </c>
      <c r="C33" s="13" cm="1">
        <f t="array" ref="C33">0.2*4</f>
        <v>0.8</v>
      </c>
      <c r="D33" s="13" cm="1">
        <f t="array" ref="D33">2.4*0.784</f>
        <v>1.8816</v>
      </c>
      <c r="E33" s="13" cm="1">
        <f t="array" ref="E33">1.5*0.683</f>
        <v>1.0245</v>
      </c>
      <c r="F33" s="13" cm="1">
        <f t="array" ref="F33">1.6*0.695</f>
        <v>1.112</v>
      </c>
      <c r="G33" s="13" cm="1">
        <f t="array" ref="G33">2.1*0.847</f>
        <v>1.7787</v>
      </c>
      <c r="H33" s="13">
        <v>0.7</v>
      </c>
      <c r="I33" s="13" cm="1">
        <f t="array" ref="I33">0.67*0.82</f>
        <v>0.5494</v>
      </c>
      <c r="J33" s="13">
        <v>2.6</v>
      </c>
      <c r="K33" s="13" cm="1">
        <f t="array" ref="K33">1.3*0.82</f>
        <v>1.066</v>
      </c>
      <c r="L33" s="13" cm="1">
        <f t="array" ref="L33">2*0.804</f>
        <v>1.608</v>
      </c>
      <c r="M33" s="13" cm="1">
        <f t="array" ref="M33">1.2*0.75</f>
        <v>0.9</v>
      </c>
      <c r="N33" s="13">
        <v>1.5</v>
      </c>
      <c r="O33" s="13">
        <v>1.5</v>
      </c>
      <c r="P33" s="13" cm="1">
        <f t="array" ref="P33">1.1*0.78</f>
        <v>0.858</v>
      </c>
      <c r="Q33" s="13" cm="1">
        <f t="array" ref="Q33">1.2*0.73</f>
        <v>0.876</v>
      </c>
      <c r="R33" s="13" cm="1">
        <f t="array" ref="R33">1.3*0.75</f>
        <v>0.975</v>
      </c>
      <c r="S33" s="13">
        <v>1.2</v>
      </c>
      <c r="T33" s="13" cm="1">
        <f t="array" ref="T33">2.5*0.71</f>
        <v>1.775</v>
      </c>
      <c r="U33" s="13" cm="1">
        <f t="array" ref="U33">2.4*0.79</f>
        <v>1.896</v>
      </c>
      <c r="V33" s="13" cm="1">
        <f t="array" ref="V33">1.3*0.77</f>
        <v>1.001</v>
      </c>
      <c r="W33" s="13" cm="1">
        <f t="array" ref="W33">2.4*0.79</f>
        <v>1.896</v>
      </c>
      <c r="X33" s="13" cm="1">
        <f t="array" ref="X33">1.2*0.7</f>
        <v>0.84</v>
      </c>
      <c r="Y33" s="13">
        <v>0.9399999999999999</v>
      </c>
      <c r="Z33" s="13">
        <v>1.2</v>
      </c>
      <c r="AA33" s="13"/>
      <c r="AB33" s="13"/>
      <c r="AC33" s="13"/>
      <c r="AD33" s="13" cm="1">
        <f t="array" ref="AD33">1.6*0.73</f>
        <v>1.168</v>
      </c>
      <c r="AE33" s="13" cm="1">
        <f t="array" ref="AE33">1.4*0.79</f>
        <v>1.106</v>
      </c>
      <c r="AF33" s="13" cm="1">
        <f t="array" ref="AF33">1.5*0.81</f>
        <v>1.215</v>
      </c>
      <c r="AG33" s="13"/>
      <c r="AH33" s="13">
        <v>1.1</v>
      </c>
      <c r="AI33" s="13">
        <v>0.6</v>
      </c>
      <c r="AJ33" s="13">
        <v>0.8</v>
      </c>
      <c r="AK33" s="13">
        <v>0.9</v>
      </c>
      <c r="AL33" s="13" cm="1">
        <f t="array" ref="AL33">0.35/81.1*75.9</f>
        <v>0.327558569667078</v>
      </c>
      <c r="AM33" s="13">
        <v>2.5</v>
      </c>
      <c r="AN33" s="13" cm="1">
        <f t="array" ref="AN33">1.7*0.71</f>
        <v>1.207</v>
      </c>
      <c r="AO33" s="13" cm="1">
        <f t="array" ref="AO33">2.3*0.786</f>
        <v>1.8078</v>
      </c>
      <c r="AP33" s="13" cm="1">
        <f t="array" ref="AP33">0.96*0.71</f>
        <v>0.6816</v>
      </c>
      <c r="AQ33" s="13">
        <v>2.3</v>
      </c>
      <c r="AR33" s="13" cm="1">
        <f t="array" ref="AR33">3.3*0.827</f>
        <v>2.7291</v>
      </c>
      <c r="AS33" s="13"/>
      <c r="AT33" s="13">
        <v>0.98</v>
      </c>
      <c r="AU33" s="13">
        <v>1.8</v>
      </c>
    </row>
    <row r="34" ht="20.05" customHeight="1">
      <c r="A34" t="s" s="31">
        <v>216</v>
      </c>
      <c r="B34" s="12" cm="1">
        <f t="array" ref="B34">1.46*0.795</f>
        <v>1.1607</v>
      </c>
      <c r="C34" s="13" cm="1">
        <f t="array" ref="C34">0.2*4</f>
        <v>0.8</v>
      </c>
      <c r="D34" s="13" cm="1">
        <f t="array" ref="D34">1.5*0.784</f>
        <v>1.176</v>
      </c>
      <c r="E34" s="13" cm="1">
        <f t="array" ref="E34">1.2*0.683</f>
        <v>0.8196</v>
      </c>
      <c r="F34" s="13" cm="1">
        <f t="array" ref="F34">1.3*0.695</f>
        <v>0.9035</v>
      </c>
      <c r="G34" s="13" cm="1">
        <f t="array" ref="G34">1.4*0.847</f>
        <v>1.1858</v>
      </c>
      <c r="H34" s="13">
        <v>0.7</v>
      </c>
      <c r="I34" s="13" cm="1">
        <f t="array" ref="I34">1.46*0.82</f>
        <v>1.1972</v>
      </c>
      <c r="J34" s="13">
        <v>1.3</v>
      </c>
      <c r="K34" s="13" cm="1">
        <f t="array" ref="K34">1.3*0.82</f>
        <v>1.066</v>
      </c>
      <c r="L34" s="13" cm="1">
        <f t="array" ref="L34">2*0.804</f>
        <v>1.608</v>
      </c>
      <c r="M34" s="13" cm="1">
        <f t="array" ref="M34">1.2*0.75</f>
        <v>0.9</v>
      </c>
      <c r="N34" s="13">
        <v>3.3</v>
      </c>
      <c r="O34" s="13">
        <v>1.1</v>
      </c>
      <c r="P34" s="13" cm="1">
        <f t="array" ref="P34">1*0.78</f>
        <v>0.78</v>
      </c>
      <c r="Q34" s="13" cm="1">
        <f t="array" ref="Q34">1*0.73</f>
        <v>0.73</v>
      </c>
      <c r="R34" s="13">
        <v>0.9</v>
      </c>
      <c r="S34" s="13">
        <v>1.1</v>
      </c>
      <c r="T34" s="13" cm="1">
        <f t="array" ref="T34">1.8*0.71</f>
        <v>1.278</v>
      </c>
      <c r="U34" s="13" cm="1">
        <f t="array" ref="U34">1.5*0.79</f>
        <v>1.185</v>
      </c>
      <c r="V34" s="13" cm="1">
        <f t="array" ref="V34">3.7*0.77</f>
        <v>2.849</v>
      </c>
      <c r="W34" s="13" cm="1">
        <f t="array" ref="W34">0.8*0.79</f>
        <v>0.632</v>
      </c>
      <c r="X34" s="13" cm="1">
        <f t="array" ref="X34">1.1*0.7</f>
        <v>0.77</v>
      </c>
      <c r="Y34" s="13">
        <v>0.8</v>
      </c>
      <c r="Z34" s="13">
        <v>0.9</v>
      </c>
      <c r="AA34" s="13"/>
      <c r="AB34" s="13"/>
      <c r="AC34" s="13"/>
      <c r="AD34" s="13" cm="1">
        <f t="array" ref="AD34">1*0.73</f>
        <v>0.73</v>
      </c>
      <c r="AE34" s="13" cm="1">
        <f t="array" ref="AE34">0.8*0.79</f>
        <v>0.632</v>
      </c>
      <c r="AF34" s="13" cm="1">
        <f t="array" ref="AF34">1*0.81</f>
        <v>0.8100000000000001</v>
      </c>
      <c r="AG34" s="13"/>
      <c r="AH34" s="13">
        <v>1.1</v>
      </c>
      <c r="AI34" s="13">
        <v>0.7</v>
      </c>
      <c r="AJ34" s="13">
        <v>0.7</v>
      </c>
      <c r="AK34" s="13">
        <v>0.8</v>
      </c>
      <c r="AL34" s="13" cm="1">
        <f t="array" ref="AL34">1.24/81.1*75.9</f>
        <v>1.16049321824908</v>
      </c>
      <c r="AM34" s="13">
        <v>1.09</v>
      </c>
      <c r="AN34" s="13" cm="1">
        <f t="array" ref="AN34">1.3*0.71</f>
        <v>0.923</v>
      </c>
      <c r="AO34" s="13" cm="1">
        <f t="array" ref="AO34">1.5*0.786</f>
        <v>1.179</v>
      </c>
      <c r="AP34" s="13" cm="1">
        <f t="array" ref="AP34">0.97*0.71</f>
        <v>0.6887</v>
      </c>
      <c r="AQ34" s="13">
        <v>1.5</v>
      </c>
      <c r="AR34" s="13" cm="1">
        <f t="array" ref="AR34">0.8*0.827</f>
        <v>0.6616</v>
      </c>
      <c r="AS34" s="13"/>
      <c r="AT34" s="13">
        <v>0.74</v>
      </c>
      <c r="AU34" s="13">
        <v>0.71</v>
      </c>
    </row>
    <row r="35" ht="20.05" customHeight="1">
      <c r="A35" t="s" s="31">
        <v>217</v>
      </c>
      <c r="B35" s="12" cm="1">
        <f t="array" ref="B35">2.25*0.795</f>
        <v>1.78875</v>
      </c>
      <c r="C35" s="13" cm="1">
        <f t="array" ref="C35">0.5*4</f>
        <v>2</v>
      </c>
      <c r="D35" s="13" cm="1">
        <f t="array" ref="D35">2.1*0.784</f>
        <v>1.6464</v>
      </c>
      <c r="E35" s="13" cm="1">
        <f t="array" ref="E35">2.5*0.683</f>
        <v>1.7075</v>
      </c>
      <c r="F35" s="13" cm="1">
        <f t="array" ref="F35">2.5*0.695</f>
        <v>1.7375</v>
      </c>
      <c r="G35" s="13" cm="1">
        <f t="array" ref="G35">2.5*0.847</f>
        <v>2.1175</v>
      </c>
      <c r="H35" s="13">
        <v>1.7</v>
      </c>
      <c r="I35" s="13" cm="1">
        <f t="array" ref="I35">2.25*0.82</f>
        <v>1.845</v>
      </c>
      <c r="J35" s="13">
        <v>1.6</v>
      </c>
      <c r="K35" s="13" cm="1">
        <f t="array" ref="K35">2.6*0.82</f>
        <v>2.132</v>
      </c>
      <c r="L35" s="13" cm="1">
        <f t="array" ref="L35">2.3*0.804</f>
        <v>1.8492</v>
      </c>
      <c r="M35" s="13" cm="1">
        <f t="array" ref="M35">2.6*0.75</f>
        <v>1.95</v>
      </c>
      <c r="N35" s="13">
        <v>1.7</v>
      </c>
      <c r="O35" s="13">
        <v>1.7</v>
      </c>
      <c r="P35" s="13" cm="1">
        <f t="array" ref="P35">2.8*0.78</f>
        <v>2.184</v>
      </c>
      <c r="Q35" s="13" cm="1">
        <f t="array" ref="Q35">2.5*0.73</f>
        <v>1.825</v>
      </c>
      <c r="R35" s="13">
        <v>2.3</v>
      </c>
      <c r="S35" s="13">
        <v>2.1</v>
      </c>
      <c r="T35" s="13" cm="1">
        <f t="array" ref="T35">2.3*0.71</f>
        <v>1.633</v>
      </c>
      <c r="U35" s="13" cm="1">
        <f t="array" ref="U35">2.2*0.79</f>
        <v>1.738</v>
      </c>
      <c r="V35" s="13" cm="1">
        <f t="array" ref="V35">1.8*0.77</f>
        <v>1.386</v>
      </c>
      <c r="W35" s="13" cm="1">
        <f t="array" ref="W35">2.2*0.79</f>
        <v>1.738</v>
      </c>
      <c r="X35" s="13" cm="1">
        <f t="array" ref="X35">2.3*0.7</f>
        <v>1.61</v>
      </c>
      <c r="Y35" s="13">
        <v>3.8</v>
      </c>
      <c r="Z35" s="13">
        <v>2.3</v>
      </c>
      <c r="AA35" s="13"/>
      <c r="AB35" s="13"/>
      <c r="AC35" s="13"/>
      <c r="AD35" s="13" cm="1">
        <f t="array" ref="AD35">2.3*0.73</f>
        <v>1.679</v>
      </c>
      <c r="AE35" s="13" cm="1">
        <f t="array" ref="AE35">3.2*0.79</f>
        <v>2.528</v>
      </c>
      <c r="AF35" s="13" cm="1">
        <f t="array" ref="AF35">2.4</f>
        <v>2.4</v>
      </c>
      <c r="AG35" s="13"/>
      <c r="AH35" s="13">
        <v>1.8</v>
      </c>
      <c r="AI35" s="13">
        <v>1.8</v>
      </c>
      <c r="AJ35" s="13">
        <v>1.8</v>
      </c>
      <c r="AK35" s="13">
        <v>1.8</v>
      </c>
      <c r="AL35" s="13" cm="1">
        <f t="array" ref="AL35">2.16/81.1*75.9</f>
        <v>2.02150431565968</v>
      </c>
      <c r="AM35" s="13">
        <v>2.1</v>
      </c>
      <c r="AN35" s="13" cm="1">
        <f t="array" ref="AN35">2.1*0.71</f>
        <v>1.491</v>
      </c>
      <c r="AO35" s="13" cm="1">
        <f t="array" ref="AO35">2.4*0.786</f>
        <v>1.8864</v>
      </c>
      <c r="AP35" s="13" cm="1">
        <f t="array" ref="AP35">2.14*0.71</f>
        <v>1.5194</v>
      </c>
      <c r="AQ35" s="13">
        <v>3</v>
      </c>
      <c r="AR35" s="13" cm="1">
        <f t="array" ref="AR35">2*0.827</f>
        <v>1.654</v>
      </c>
      <c r="AS35" s="13"/>
      <c r="AT35" s="13">
        <v>1.8</v>
      </c>
      <c r="AU35" s="13">
        <v>1.6</v>
      </c>
    </row>
    <row r="36" ht="20.05" customHeight="1">
      <c r="A36" t="s" s="9">
        <v>218</v>
      </c>
      <c r="B36" s="32" cm="1">
        <f t="array" ref="B36">SUM(B29:B35)</f>
        <v>33.1038</v>
      </c>
      <c r="C36" s="33" cm="1">
        <f t="array" ref="C36">SUM(C29:C35)</f>
        <v>32.4</v>
      </c>
      <c r="D36" s="33" cm="1">
        <f t="array" ref="D36">SUM(D29:D35)</f>
        <v>35.2016</v>
      </c>
      <c r="E36" s="33" cm="1">
        <f t="array" ref="E36">SUM(E29:E35)</f>
        <v>23.4952</v>
      </c>
      <c r="F36" s="33" cm="1">
        <f t="array" ref="F36">SUM(F29:F35)</f>
        <v>24.2555</v>
      </c>
      <c r="G36" s="33" cm="1">
        <f t="array" ref="G36">SUM(G29:G35)</f>
        <v>31.9319</v>
      </c>
      <c r="H36" s="33" cm="1">
        <f t="array" ref="H36">SUM(H29:H35)</f>
        <v>24.921</v>
      </c>
      <c r="I36" s="33" cm="1">
        <f t="array" ref="I36">SUM(I29:I35)</f>
        <v>34.1448</v>
      </c>
      <c r="J36" s="33" cm="1">
        <f t="array" ref="J36">SUM(J29:J35)</f>
        <v>40.2</v>
      </c>
      <c r="K36" s="33" cm="1">
        <f t="array" ref="K36">SUM(K29:K35)</f>
        <v>31.898</v>
      </c>
      <c r="L36" s="33" cm="1">
        <f t="array" ref="L36">SUM(L29:L35)</f>
        <v>36.2972</v>
      </c>
      <c r="M36" s="33" cm="1">
        <f t="array" ref="M36">SUM(M29:M35)</f>
        <v>29.25</v>
      </c>
      <c r="N36" s="33" cm="1">
        <f t="array" ref="N36">SUM(N29:N35)</f>
        <v>29.8</v>
      </c>
      <c r="O36" s="33" cm="1">
        <f t="array" ref="O36">SUM(O29:O35)</f>
        <v>25</v>
      </c>
      <c r="P36" s="33" cm="1">
        <f t="array" ref="P36">SUM(P29:P35)</f>
        <v>29.718</v>
      </c>
      <c r="Q36" s="33" cm="1">
        <f t="array" ref="Q36">SUM(Q29:Q35)</f>
        <v>28.689</v>
      </c>
      <c r="R36" s="33" cm="1">
        <f t="array" ref="R36">SUM(R29:R35)</f>
        <v>32.375</v>
      </c>
      <c r="S36" s="33" cm="1">
        <f t="array" ref="S36">SUM(S29:S35)</f>
        <v>27.3</v>
      </c>
      <c r="T36" s="33" cm="1">
        <f t="array" ref="T36">SUM(T29:T35)</f>
        <v>29.82</v>
      </c>
      <c r="U36" s="33" cm="1">
        <f t="array" ref="U36">SUM(U29:U35)</f>
        <v>37.288</v>
      </c>
      <c r="V36" s="33" cm="1">
        <f t="array" ref="V36">SUM(V29:V35)</f>
        <v>39.27</v>
      </c>
      <c r="W36" s="33" cm="1">
        <f t="array" ref="W36">SUM(W29:W35)</f>
        <v>32.548</v>
      </c>
      <c r="X36" s="33" cm="1">
        <f t="array" ref="X36">SUM(X29:X35)</f>
        <v>26.74</v>
      </c>
      <c r="Y36" s="33" cm="1">
        <f t="array" ref="Y36">SUM(Y29:Y35)</f>
        <v>31.44</v>
      </c>
      <c r="Z36" s="33" cm="1">
        <f t="array" ref="Z36">SUM(Z29:Z35)</f>
        <v>32.2</v>
      </c>
      <c r="AA36" s="33" cm="1">
        <f t="array" ref="AA36">SUM(AA29:AA35)</f>
        <v>0</v>
      </c>
      <c r="AB36" s="33" cm="1">
        <f t="array" ref="AB36">SUM(AB29:AB35)</f>
        <v>0</v>
      </c>
      <c r="AC36" s="33" cm="1">
        <f t="array" ref="AC36">SUM(AC29:AC35)</f>
        <v>0</v>
      </c>
      <c r="AD36" s="33" cm="1">
        <f t="array" ref="AD36">SUM(AD29:AD35)</f>
        <v>29.127</v>
      </c>
      <c r="AE36" s="33" cm="1">
        <f t="array" ref="AE36">SUM(AE29:AE35)</f>
        <v>38.631</v>
      </c>
      <c r="AF36" s="33" cm="1">
        <f t="array" ref="AF36">SUM(AF29:AF35)</f>
        <v>32.451</v>
      </c>
      <c r="AG36" s="33" cm="1">
        <f t="array" ref="AG36">SUM(AG29:AG35)</f>
        <v>0</v>
      </c>
      <c r="AH36" s="33" cm="1">
        <f t="array" ref="AH36">SUM(AH29:AH35)</f>
        <v>29.2</v>
      </c>
      <c r="AI36" s="33" cm="1">
        <f t="array" ref="AI36">SUM(AI29:AI35)</f>
        <v>34.7</v>
      </c>
      <c r="AJ36" s="33" cm="1">
        <f t="array" ref="AJ36">SUM(AJ29:AJ35)</f>
        <v>26.2</v>
      </c>
      <c r="AK36" s="33" cm="1">
        <f t="array" ref="AK36">SUM(AK29:AK35)</f>
        <v>26</v>
      </c>
      <c r="AL36" s="33" cm="1">
        <f t="array" ref="AL36">SUM(AL29:AL35)</f>
        <v>34.2158323057954</v>
      </c>
      <c r="AM36" s="33" cm="1">
        <f t="array" ref="AM36">SUM(AM29:AM35)</f>
        <v>34.82</v>
      </c>
      <c r="AN36" s="33" cm="1">
        <f t="array" ref="AN36">SUM(AN29:AN35)</f>
        <v>32.447</v>
      </c>
      <c r="AO36" s="33" cm="1">
        <f t="array" ref="AO36">SUM(AO29:AO35)</f>
        <v>30.5754</v>
      </c>
      <c r="AP36" s="33" cm="1">
        <f t="array" ref="AP36">SUM(AP29:AP35)</f>
        <v>22.8762</v>
      </c>
      <c r="AQ36" s="33" cm="1">
        <f t="array" ref="AQ36">SUM(AQ29:AQ35)</f>
        <v>34.5</v>
      </c>
      <c r="AR36" s="33" cm="1">
        <f t="array" ref="AR36">SUM(AR29:AR35)</f>
        <v>42.5078</v>
      </c>
      <c r="AS36" s="33" cm="1">
        <f t="array" ref="AS36">SUM(AS29:AS35)</f>
        <v>0</v>
      </c>
      <c r="AT36" s="33" cm="1">
        <f t="array" ref="AT36">SUM(AT29:AT35)</f>
        <v>28.7618</v>
      </c>
      <c r="AU36" s="33" cm="1">
        <f t="array" ref="AU36">SUM(AU29:AU35)</f>
        <v>29.81</v>
      </c>
    </row>
    <row r="37" ht="20.05" customHeight="1">
      <c r="A37" t="s" s="31">
        <v>219</v>
      </c>
      <c r="B37" s="12" cm="1">
        <f t="array" ref="B37">3.78*0.795</f>
        <v>3.0051</v>
      </c>
      <c r="C37" s="13" cm="1">
        <f t="array" ref="C37">0.7*4</f>
        <v>2.8</v>
      </c>
      <c r="D37" s="13" cm="1">
        <f t="array" ref="D37">3.3*0.784</f>
        <v>2.5872</v>
      </c>
      <c r="E37" s="13" cm="1">
        <f t="array" ref="E37">4.1*0.683</f>
        <v>2.8003</v>
      </c>
      <c r="F37" s="13" cm="1">
        <f t="array" ref="F37">4.9*0.695</f>
        <v>3.4055</v>
      </c>
      <c r="G37" s="13" cm="1">
        <f t="array" ref="G37">5.6*0.847</f>
        <v>4.7432</v>
      </c>
      <c r="H37" s="13">
        <v>2.5</v>
      </c>
      <c r="I37" s="13" cm="1">
        <f t="array" ref="I37">3.78*0.82</f>
        <v>3.0996</v>
      </c>
      <c r="J37" s="13">
        <v>2.4</v>
      </c>
      <c r="K37" s="34" cm="1">
        <f t="array" ref="K37">3.8*0.82</f>
        <v>3.116</v>
      </c>
      <c r="L37" s="13" cm="1">
        <f t="array" ref="L37">3.4*0.804</f>
        <v>2.7336</v>
      </c>
      <c r="M37" s="34" cm="1">
        <f t="array" ref="M37">3.8*0.75</f>
        <v>2.85</v>
      </c>
      <c r="N37" s="34">
        <v>3.3</v>
      </c>
      <c r="O37" s="34">
        <v>3.3</v>
      </c>
      <c r="P37" s="34" cm="1">
        <f t="array" ref="P37">3.7*0.78</f>
        <v>2.886</v>
      </c>
      <c r="Q37" s="34" cm="1">
        <f t="array" ref="Q37">4*0.73</f>
        <v>2.92</v>
      </c>
      <c r="R37" s="34">
        <v>2.8</v>
      </c>
      <c r="S37" s="34">
        <v>2.8</v>
      </c>
      <c r="T37" s="34" cm="1">
        <f t="array" ref="T37">3.5*0.71</f>
        <v>2.485</v>
      </c>
      <c r="U37" s="34" cm="1">
        <f t="array" ref="U37">3.2*0.79</f>
        <v>2.528</v>
      </c>
      <c r="V37" s="34" cm="1">
        <f t="array" ref="V37">1.4*0.77</f>
        <v>1.078</v>
      </c>
      <c r="W37" s="34" cm="1">
        <f t="array" ref="W37">2.7*0.79</f>
        <v>2.133</v>
      </c>
      <c r="X37" s="34" cm="1">
        <f t="array" ref="X37">2.4*0.7</f>
        <v>1.68</v>
      </c>
      <c r="Y37" s="34">
        <v>3</v>
      </c>
      <c r="Z37" s="34">
        <v>3.5</v>
      </c>
      <c r="AA37" s="34"/>
      <c r="AB37" s="34"/>
      <c r="AC37" s="34"/>
      <c r="AD37" s="13" cm="1">
        <f t="array" ref="AD37">4.1*0.73</f>
        <v>2.993</v>
      </c>
      <c r="AE37" s="13" cm="1">
        <f t="array" ref="AE37">3.5*0.79</f>
        <v>2.765</v>
      </c>
      <c r="AF37" s="13" cm="1">
        <f t="array" ref="AF37">4*0.81</f>
        <v>3.24</v>
      </c>
      <c r="AG37" s="13"/>
      <c r="AH37" s="13">
        <v>3</v>
      </c>
      <c r="AI37" s="13">
        <v>2.4</v>
      </c>
      <c r="AJ37" s="13">
        <v>2.7</v>
      </c>
      <c r="AK37" s="13">
        <v>2.6</v>
      </c>
      <c r="AL37" s="13" cm="1">
        <f t="array" ref="AL37">3.35/81.1*75.9</f>
        <v>3.13520345252774</v>
      </c>
      <c r="AM37" s="13"/>
      <c r="AN37" s="13" cm="1">
        <f t="array" ref="AN37">3.1*0.71</f>
        <v>2.201</v>
      </c>
      <c r="AO37" s="13" cm="1">
        <f t="array" ref="AO37">3.6*0.786</f>
        <v>2.8296</v>
      </c>
      <c r="AP37" s="13" cm="1">
        <f t="array" ref="AP37">3.14*0.71</f>
        <v>2.2294</v>
      </c>
      <c r="AQ37" s="13">
        <v>3.1</v>
      </c>
      <c r="AR37" s="13" cm="1">
        <f t="array" ref="AR37">2.5*0.827</f>
        <v>2.0675</v>
      </c>
      <c r="AS37" s="13"/>
      <c r="AT37" s="13">
        <v>2.8</v>
      </c>
      <c r="AU37" s="13">
        <v>3.1</v>
      </c>
    </row>
    <row r="38" ht="20.05" customHeight="1">
      <c r="A38" t="s" s="31">
        <v>220</v>
      </c>
      <c r="B38" s="12" cm="1">
        <f t="array" ref="B38">9.46*0.795</f>
        <v>7.5207</v>
      </c>
      <c r="C38" s="13" cm="1">
        <f t="array" ref="C38">1.9*4</f>
        <v>7.6</v>
      </c>
      <c r="D38" s="13" cm="1">
        <f t="array" ref="D38">7.8*0.784</f>
        <v>6.1152</v>
      </c>
      <c r="E38" s="13" cm="1">
        <f t="array" ref="E38">11.6*0.683</f>
        <v>7.9228</v>
      </c>
      <c r="F38" s="13" cm="1">
        <f t="array" ref="F38">9.9*0.695</f>
        <v>6.8805</v>
      </c>
      <c r="G38" s="13" cm="1">
        <f t="array" ref="G38">8.3*0.847</f>
        <v>7.0301</v>
      </c>
      <c r="H38" s="13">
        <v>5.6</v>
      </c>
      <c r="I38" s="13" cm="1">
        <f t="array" ref="I38">9.46*0.82</f>
        <v>7.7572</v>
      </c>
      <c r="J38" s="13">
        <v>5.6</v>
      </c>
      <c r="K38" s="13" cm="1">
        <f t="array" ref="K38">7.8*0.82</f>
        <v>6.396</v>
      </c>
      <c r="L38" s="13" cm="1">
        <f t="array" ref="L38">8.5*0.804</f>
        <v>6.834</v>
      </c>
      <c r="M38" s="13" cm="1">
        <f t="array" ref="M38">8.3*0.75</f>
        <v>6.225</v>
      </c>
      <c r="N38" s="13">
        <v>4</v>
      </c>
      <c r="O38" s="13">
        <v>4</v>
      </c>
      <c r="P38" s="13" cm="1">
        <f t="array" ref="P38">8*0.78</f>
        <v>6.24</v>
      </c>
      <c r="Q38" s="13" cm="1">
        <f t="array" ref="Q38">8.7*0.73</f>
        <v>6.351</v>
      </c>
      <c r="R38" s="13">
        <v>6.6</v>
      </c>
      <c r="S38" s="13">
        <v>5.1</v>
      </c>
      <c r="T38" s="13" cm="1">
        <f t="array" ref="T38">7.9*0.71</f>
        <v>5.609</v>
      </c>
      <c r="U38" s="13" cm="1">
        <f t="array" ref="U38">7.8*0.79</f>
        <v>6.162</v>
      </c>
      <c r="V38" s="13" cm="1">
        <f t="array" ref="V38">6.2*0.77</f>
        <v>4.774</v>
      </c>
      <c r="W38" s="13" cm="1">
        <f t="array" ref="W38">8.1*0.79</f>
        <v>6.399</v>
      </c>
      <c r="X38" s="13" cm="1">
        <f t="array" ref="X38">10.7*0.7</f>
        <v>7.49</v>
      </c>
      <c r="Y38" s="13">
        <v>6.7</v>
      </c>
      <c r="Z38" s="13">
        <v>6.9</v>
      </c>
      <c r="AA38" s="13"/>
      <c r="AB38" s="13"/>
      <c r="AC38" s="13"/>
      <c r="AD38" s="13" cm="1">
        <f t="array" ref="AD38">8.8*0.73</f>
        <v>6.424</v>
      </c>
      <c r="AE38" s="13" cm="1">
        <f t="array" ref="AE38">7.8*0.79</f>
        <v>6.162</v>
      </c>
      <c r="AF38" s="13" cm="1">
        <f t="array" ref="AF38">8.6*0.81</f>
        <v>6.966</v>
      </c>
      <c r="AG38" s="13"/>
      <c r="AH38" s="13">
        <v>6.5</v>
      </c>
      <c r="AI38" s="13">
        <v>6.8</v>
      </c>
      <c r="AJ38" s="13">
        <v>6.2</v>
      </c>
      <c r="AK38" s="13">
        <v>5.6</v>
      </c>
      <c r="AL38" s="13" cm="1">
        <f t="array" ref="AL38">5.07/81.1*75.9</f>
        <v>4.74491985203453</v>
      </c>
      <c r="AM38" s="13"/>
      <c r="AN38" s="13" cm="1">
        <f t="array" ref="AN38">7.6*0.71</f>
        <v>5.396</v>
      </c>
      <c r="AO38" s="13" cm="1">
        <f t="array" ref="AO38">8.5*0.786</f>
        <v>6.681</v>
      </c>
      <c r="AP38" s="13" cm="1">
        <f t="array" ref="AP38">8.43*0.71</f>
        <v>5.9853</v>
      </c>
      <c r="AQ38" s="13">
        <v>7</v>
      </c>
      <c r="AR38" s="13" cm="1">
        <f t="array" ref="AR38">6.3*0.827</f>
        <v>5.2101</v>
      </c>
      <c r="AS38" s="13"/>
      <c r="AT38" s="13">
        <v>6.1</v>
      </c>
      <c r="AU38" s="13">
        <v>7.8</v>
      </c>
    </row>
    <row r="39" ht="20.05" customHeight="1">
      <c r="A39" t="s" s="31">
        <v>221</v>
      </c>
      <c r="B39" s="12" cm="1">
        <f t="array" ref="B39">18.27*0.795</f>
        <v>14.52465</v>
      </c>
      <c r="C39" s="13" cm="1">
        <f t="array" ref="C39">3.7*4</f>
        <v>14.8</v>
      </c>
      <c r="D39" s="13" cm="1">
        <f t="array" ref="D39">16.4*0.784</f>
        <v>12.8576</v>
      </c>
      <c r="E39" s="13" cm="1">
        <f t="array" ref="E39">20.2*0.683</f>
        <v>13.7966</v>
      </c>
      <c r="F39" s="13" cm="1">
        <f t="array" ref="F39">18.7*0.695</f>
        <v>12.9965</v>
      </c>
      <c r="G39" s="13" cm="1">
        <f t="array" ref="G39">17.5*0.847</f>
        <v>14.8225</v>
      </c>
      <c r="H39" s="13">
        <v>12.1</v>
      </c>
      <c r="I39" s="13" cm="1">
        <f t="array" ref="I39">18.27*0.82</f>
        <v>14.9814</v>
      </c>
      <c r="J39" s="13">
        <v>11.2</v>
      </c>
      <c r="K39" s="13" cm="1">
        <f t="array" ref="K39">19.1*0.82</f>
        <v>15.662</v>
      </c>
      <c r="L39" s="13" cm="1">
        <f t="array" ref="L39">16.8*0.804</f>
        <v>13.5072</v>
      </c>
      <c r="M39" s="13" cm="1">
        <f t="array" ref="M39">18.3*0.75</f>
        <v>13.725</v>
      </c>
      <c r="N39" s="13">
        <v>21.5</v>
      </c>
      <c r="O39" s="13">
        <v>21.7</v>
      </c>
      <c r="P39" s="13" cm="1">
        <f t="array" ref="P39">18.5</f>
        <v>18.5</v>
      </c>
      <c r="Q39" s="13" cm="1">
        <f t="array" ref="Q39">17*0.73</f>
        <v>12.41</v>
      </c>
      <c r="R39" s="13">
        <v>16.1</v>
      </c>
      <c r="S39" s="13">
        <v>10.9</v>
      </c>
      <c r="T39" s="13" cm="1">
        <f t="array" ref="T39">15.8*0.71</f>
        <v>11.218</v>
      </c>
      <c r="U39" s="13" cm="1">
        <f t="array" ref="U39">16.1*0.79</f>
        <v>12.719</v>
      </c>
      <c r="V39" s="13" cm="1">
        <f t="array" ref="V39">18.3*0.77</f>
        <v>14.091</v>
      </c>
      <c r="W39" s="13" cm="1">
        <f t="array" ref="W39">16.8*0.79</f>
        <v>13.272</v>
      </c>
      <c r="X39" s="13" cm="1">
        <f t="array" ref="X39">17.9*0.7</f>
        <v>12.53</v>
      </c>
      <c r="Y39" s="13">
        <v>13.5</v>
      </c>
      <c r="Z39" s="13">
        <v>17.6</v>
      </c>
      <c r="AA39" s="13"/>
      <c r="AB39" s="13"/>
      <c r="AC39" s="13"/>
      <c r="AD39" s="13" cm="1">
        <f t="array" ref="AD39">17.4*0.73</f>
        <v>12.702</v>
      </c>
      <c r="AE39" s="13" cm="1">
        <f t="array" ref="AE39">14.8*0.79</f>
        <v>11.692</v>
      </c>
      <c r="AF39" s="13" cm="1">
        <f t="array" ref="AF39">17.9*0.81</f>
        <v>14.499</v>
      </c>
      <c r="AG39" s="13"/>
      <c r="AH39" s="13">
        <v>14.3</v>
      </c>
      <c r="AI39" s="13">
        <v>13.6</v>
      </c>
      <c r="AJ39" s="13">
        <v>14.4</v>
      </c>
      <c r="AK39" s="13">
        <v>13.7</v>
      </c>
      <c r="AL39" s="13" cm="1">
        <f t="array" ref="AL39">10.08/81.1*75.9</f>
        <v>9.43368680641184</v>
      </c>
      <c r="AM39" s="13"/>
      <c r="AN39" s="13" cm="1">
        <f t="array" ref="AN39">15.8*0.71</f>
        <v>11.218</v>
      </c>
      <c r="AO39" s="13" cm="1">
        <f t="array" ref="AO39">17.8*0.786</f>
        <v>13.9908</v>
      </c>
      <c r="AP39" s="13" cm="1">
        <f t="array" ref="AP39">15.57*0.71</f>
        <v>11.0547</v>
      </c>
      <c r="AQ39" s="13">
        <v>13.5</v>
      </c>
      <c r="AR39" s="13" cm="1">
        <f t="array" ref="AR39">18.4*0.827</f>
        <v>15.2168</v>
      </c>
      <c r="AS39" s="13"/>
      <c r="AT39" s="13">
        <v>11.9</v>
      </c>
      <c r="AU39" s="13">
        <v>11.6</v>
      </c>
    </row>
    <row r="40" ht="20.05" customHeight="1">
      <c r="A40" t="s" s="9">
        <v>222</v>
      </c>
      <c r="B40" s="32" cm="1">
        <f t="array" ref="B40">SUM(B37:B39)</f>
        <v>25.05045</v>
      </c>
      <c r="C40" s="33" cm="1">
        <f t="array" ref="C40">SUM(C37:C39)</f>
        <v>25.2</v>
      </c>
      <c r="D40" s="33" cm="1">
        <f t="array" ref="D40">SUM(D37:D39)</f>
        <v>21.56</v>
      </c>
      <c r="E40" s="33" cm="1">
        <f t="array" ref="E40">SUM(E37:E39)</f>
        <v>24.5197</v>
      </c>
      <c r="F40" s="33" cm="1">
        <f t="array" ref="F40">SUM(F37:F39)</f>
        <v>23.2825</v>
      </c>
      <c r="G40" s="33" cm="1">
        <f t="array" ref="G40">SUM(G37:G39)</f>
        <v>26.5958</v>
      </c>
      <c r="H40" s="33" cm="1">
        <f t="array" ref="H40">SUM(H37:H39)</f>
        <v>20.2</v>
      </c>
      <c r="I40" s="33" cm="1">
        <f t="array" ref="I40">SUM(I37:I39)</f>
        <v>25.8382</v>
      </c>
      <c r="J40" s="33" cm="1">
        <f t="array" ref="J40">SUM(J37:J39)</f>
        <v>19.2</v>
      </c>
      <c r="K40" s="33" cm="1">
        <f t="array" ref="K40">SUM(K37:K39)</f>
        <v>25.174</v>
      </c>
      <c r="L40" s="33" cm="1">
        <f t="array" ref="L40">SUM(L37:L39)</f>
        <v>23.0748</v>
      </c>
      <c r="M40" s="33" cm="1">
        <f t="array" ref="M40">SUM(M37:M39)</f>
        <v>22.8</v>
      </c>
      <c r="N40" s="33" cm="1">
        <f t="array" ref="N40">SUM(N37:N39)</f>
        <v>28.8</v>
      </c>
      <c r="O40" s="33" cm="1">
        <f t="array" ref="O40">SUM(O37:O39)</f>
        <v>29</v>
      </c>
      <c r="P40" s="33" cm="1">
        <f t="array" ref="P40">SUM(P37:P39)</f>
        <v>27.626</v>
      </c>
      <c r="Q40" s="33" cm="1">
        <f t="array" ref="Q40">SUM(Q37:Q39)</f>
        <v>21.681</v>
      </c>
      <c r="R40" s="33" cm="1">
        <f t="array" ref="R40">SUM(R37:R39)</f>
        <v>25.5</v>
      </c>
      <c r="S40" s="33" cm="1">
        <f t="array" ref="S40">SUM(S37:S39)</f>
        <v>18.8</v>
      </c>
      <c r="T40" s="33" cm="1">
        <f t="array" ref="T40">SUM(T37:T39)</f>
        <v>19.312</v>
      </c>
      <c r="U40" s="33" cm="1">
        <f t="array" ref="U40">SUM(U37:U39)</f>
        <v>21.409</v>
      </c>
      <c r="V40" s="33" cm="1">
        <f t="array" ref="V40">SUM(V37:V39)</f>
        <v>19.943</v>
      </c>
      <c r="W40" s="33" cm="1">
        <f t="array" ref="W40">SUM(W37:W39)</f>
        <v>21.804</v>
      </c>
      <c r="X40" s="33" cm="1">
        <f t="array" ref="X40">SUM(X37:X39)</f>
        <v>21.7</v>
      </c>
      <c r="Y40" s="33" cm="1">
        <f t="array" ref="Y40">SUM(Y37:Y39)</f>
        <v>23.2</v>
      </c>
      <c r="Z40" s="33" cm="1">
        <f t="array" ref="Z40">SUM(Z37:Z39)</f>
        <v>28</v>
      </c>
      <c r="AA40" s="33" cm="1">
        <f t="array" ref="AA40">SUM(AA37:AA39)</f>
        <v>0</v>
      </c>
      <c r="AB40" s="33" cm="1">
        <f t="array" ref="AB40">SUM(AB37:AB39)</f>
        <v>0</v>
      </c>
      <c r="AC40" s="33" cm="1">
        <f t="array" ref="AC40">SUM(AC37:AC39)</f>
        <v>0</v>
      </c>
      <c r="AD40" s="33" cm="1">
        <f t="array" ref="AD40">SUM(AD37:AD39)</f>
        <v>22.119</v>
      </c>
      <c r="AE40" s="33" cm="1">
        <f t="array" ref="AE40">SUM(AE37:AE39)</f>
        <v>20.619</v>
      </c>
      <c r="AF40" s="33" cm="1">
        <f t="array" ref="AF40">SUM(AF37:AF39)</f>
        <v>24.705</v>
      </c>
      <c r="AG40" s="33" cm="1">
        <f t="array" ref="AG40">SUM(AG37:AG39)</f>
        <v>0</v>
      </c>
      <c r="AH40" s="33" cm="1">
        <f t="array" ref="AH40">SUM(AH37:AH39)</f>
        <v>23.8</v>
      </c>
      <c r="AI40" s="33" cm="1">
        <f t="array" ref="AI40">SUM(AI37:AI39)</f>
        <v>22.8</v>
      </c>
      <c r="AJ40" s="33" cm="1">
        <f t="array" ref="AJ40">SUM(AJ37:AJ39)</f>
        <v>23.3</v>
      </c>
      <c r="AK40" s="33" cm="1">
        <f t="array" ref="AK40">SUM(AK37:AK39)</f>
        <v>21.9</v>
      </c>
      <c r="AL40" s="33" cm="1">
        <f t="array" ref="AL40">SUM(AL37:AL39)</f>
        <v>17.3138101109741</v>
      </c>
      <c r="AM40" s="33"/>
      <c r="AN40" s="33" cm="1">
        <f t="array" ref="AN40">SUM(AN37:AN39)</f>
        <v>18.815</v>
      </c>
      <c r="AO40" s="33" cm="1">
        <f t="array" ref="AO40">SUM(AO37:AO39)</f>
        <v>23.5014</v>
      </c>
      <c r="AP40" s="33" cm="1">
        <f t="array" ref="AP40">SUM(AP37:AP39)</f>
        <v>19.2694</v>
      </c>
      <c r="AQ40" s="33" cm="1">
        <f t="array" ref="AQ40">SUM(AQ37:AQ39)</f>
        <v>23.6</v>
      </c>
      <c r="AR40" s="33" cm="1">
        <f t="array" ref="AR40">SUM(AR37:AR39)</f>
        <v>22.4944</v>
      </c>
      <c r="AS40" s="33" cm="1">
        <f t="array" ref="AS40">SUM(AS37:AS39)</f>
        <v>0</v>
      </c>
      <c r="AT40" s="33" cm="1">
        <f t="array" ref="AT40">SUM(AT37:AT39)</f>
        <v>20.8</v>
      </c>
      <c r="AU40" s="33" cm="1">
        <f t="array" ref="AU40">SUM(AU37:AU39)</f>
        <v>22.5</v>
      </c>
    </row>
    <row r="41" ht="20.05" customHeight="1">
      <c r="A41" t="s" s="31">
        <v>223</v>
      </c>
      <c r="B41" s="12" cm="1">
        <f t="array" ref="B41">1.72*0.795</f>
        <v>1.3674</v>
      </c>
      <c r="C41" s="13" cm="1">
        <f t="array" ref="C41">0.7*4</f>
        <v>2.8</v>
      </c>
      <c r="D41" s="13" cm="1">
        <f t="array" ref="D41">3.9*0.784</f>
        <v>3.0576</v>
      </c>
      <c r="E41" s="13" cm="1">
        <f t="array" ref="E41">4.2*0.683</f>
        <v>2.8686</v>
      </c>
      <c r="F41" s="13" cm="1">
        <f t="array" ref="F41">4.5*0.695</f>
        <v>3.1275</v>
      </c>
      <c r="G41" s="13" cm="1">
        <f t="array" ref="G41">4.5*0.847</f>
        <v>3.8115</v>
      </c>
      <c r="H41" s="13">
        <v>3.4</v>
      </c>
      <c r="I41" s="13" cm="1">
        <f t="array" ref="I41">1.72*0.82</f>
        <v>1.4104</v>
      </c>
      <c r="J41" s="13">
        <v>3.2</v>
      </c>
      <c r="K41" s="13" cm="1">
        <f t="array" ref="K41">5.1</f>
        <v>5.1</v>
      </c>
      <c r="L41" s="13" cm="1">
        <f t="array" ref="L41">4.2*0.804</f>
        <v>3.3768</v>
      </c>
      <c r="M41" s="13" cm="1">
        <f t="array" ref="M41">4.8*0.75</f>
        <v>3.6</v>
      </c>
      <c r="N41" s="13">
        <v>9.199999999999999</v>
      </c>
      <c r="O41" s="13">
        <v>9.300000000000001</v>
      </c>
      <c r="P41" s="13" cm="1">
        <f t="array" ref="P41">5.1*0.78</f>
        <v>3.978</v>
      </c>
      <c r="Q41" s="13" cm="1">
        <f t="array" ref="Q41">4.5*0.73</f>
        <v>3.285</v>
      </c>
      <c r="R41" s="13">
        <v>4.5</v>
      </c>
      <c r="S41" s="13">
        <v>6.2</v>
      </c>
      <c r="T41" s="13" cm="1">
        <f t="array" ref="T41">3.9*0.71</f>
        <v>2.769</v>
      </c>
      <c r="U41" s="13" cm="1">
        <f t="array" ref="U41">4.9*0.79</f>
        <v>3.871</v>
      </c>
      <c r="V41" s="13" cm="1">
        <f t="array" ref="V41">3.7*0.77</f>
        <v>2.849</v>
      </c>
      <c r="W41" s="13" cm="1">
        <f t="array" ref="W41">4*0.79</f>
        <v>3.16</v>
      </c>
      <c r="X41" s="13" cm="1">
        <f t="array" ref="X41">4*0.7</f>
        <v>2.8</v>
      </c>
      <c r="Y41" s="13">
        <v>4</v>
      </c>
      <c r="Z41" s="13">
        <v>4.6</v>
      </c>
      <c r="AA41" s="13"/>
      <c r="AB41" s="13"/>
      <c r="AC41" s="13"/>
      <c r="AD41" s="13" cm="1">
        <f t="array" ref="AD41">4.3*0.73</f>
        <v>3.139</v>
      </c>
      <c r="AE41" s="13" cm="1">
        <f t="array" ref="AE41">3.7*0.79</f>
        <v>2.923</v>
      </c>
      <c r="AF41" s="13" cm="1">
        <f t="array" ref="AF41">4.5*0.81</f>
        <v>3.645</v>
      </c>
      <c r="AG41" s="13"/>
      <c r="AH41" s="13">
        <v>3.6</v>
      </c>
      <c r="AI41" s="13">
        <v>3.2</v>
      </c>
      <c r="AJ41" s="13">
        <v>3.6</v>
      </c>
      <c r="AK41" s="13">
        <v>3.4</v>
      </c>
      <c r="AL41" s="13" cm="1">
        <f t="array" ref="AL41">3.8/81.1*75.9</f>
        <v>3.55635018495684</v>
      </c>
      <c r="AM41" s="13"/>
      <c r="AN41" s="13" cm="1">
        <f t="array" ref="AN41">3.8*0.71</f>
        <v>2.698</v>
      </c>
      <c r="AO41" s="13" cm="1">
        <f t="array" ref="AO41">4.3*0.786</f>
        <v>3.3798</v>
      </c>
      <c r="AP41" s="13" cm="1">
        <f t="array" ref="AP41">4*0.71</f>
        <v>2.84</v>
      </c>
      <c r="AQ41" s="13">
        <v>3.5</v>
      </c>
      <c r="AR41" s="13" cm="1">
        <f t="array" ref="AR41">3.2*0.827</f>
        <v>2.6464</v>
      </c>
      <c r="AS41" s="13"/>
      <c r="AT41" s="13">
        <v>3.1</v>
      </c>
      <c r="AU41" s="13">
        <v>2.9</v>
      </c>
    </row>
    <row r="42" ht="20.05" customHeight="1">
      <c r="A42" t="s" s="31">
        <v>224</v>
      </c>
      <c r="B42" s="12" cm="1">
        <f t="array" ref="B42">4*0.795</f>
        <v>3.18</v>
      </c>
      <c r="C42" s="13" cm="1">
        <f t="array" ref="C42">0.8*4</f>
        <v>3.2</v>
      </c>
      <c r="D42" s="13" cm="1">
        <f t="array" ref="D42">4.1*0.784</f>
        <v>3.2144</v>
      </c>
      <c r="E42" s="13" cm="1">
        <f t="array" ref="E42">5.4*0.683</f>
        <v>3.6882</v>
      </c>
      <c r="F42" s="13" cm="1">
        <f t="array" ref="F42">5.3*0.695</f>
        <v>3.6835</v>
      </c>
      <c r="G42" s="13" cm="1">
        <f t="array" ref="G42">4.3*0.847</f>
        <v>3.6421</v>
      </c>
      <c r="H42" s="13">
        <v>2.8</v>
      </c>
      <c r="I42" s="13" cm="1">
        <f t="array" ref="I42">4*0.82</f>
        <v>3.28</v>
      </c>
      <c r="J42" s="13">
        <v>2.6</v>
      </c>
      <c r="K42" s="13" cm="1">
        <f t="array" ref="K42">4.2*0.82</f>
        <v>3.444</v>
      </c>
      <c r="L42" s="13" cm="1">
        <f t="array" ref="L42">3.8*0.804</f>
        <v>3.0552</v>
      </c>
      <c r="M42" s="13" cm="1">
        <f t="array" ref="M42">4.2*0.75</f>
        <v>3.15</v>
      </c>
      <c r="N42" s="13">
        <v>3.5</v>
      </c>
      <c r="O42" s="13">
        <v>3.5</v>
      </c>
      <c r="P42" s="13" cm="1">
        <f t="array" ref="P42">4.1*0.78</f>
        <v>3.198</v>
      </c>
      <c r="Q42" s="13" cm="1">
        <f t="array" ref="Q42">4.1*0.73</f>
        <v>2.993</v>
      </c>
      <c r="R42" s="13">
        <v>3.5</v>
      </c>
      <c r="S42" s="13">
        <v>2.9</v>
      </c>
      <c r="T42" s="13" cm="1">
        <f t="array" ref="T42">3.9*0.71</f>
        <v>2.769</v>
      </c>
      <c r="U42" s="13" cm="1">
        <f t="array" ref="U42">3.6*0.79</f>
        <v>2.844</v>
      </c>
      <c r="V42" s="13" cm="1">
        <f t="array" ref="V42">3.1*0.77</f>
        <v>2.387</v>
      </c>
      <c r="W42" s="13" cm="1">
        <f t="array" ref="W42">4*0.79</f>
        <v>3.16</v>
      </c>
      <c r="X42" s="13" cm="1">
        <f t="array" ref="X42">4.5*0.7</f>
        <v>3.15</v>
      </c>
      <c r="Y42" s="13">
        <v>3</v>
      </c>
      <c r="Z42" s="13">
        <v>3.6</v>
      </c>
      <c r="AA42" s="13"/>
      <c r="AB42" s="13"/>
      <c r="AC42" s="13"/>
      <c r="AD42" s="13" cm="1">
        <f t="array" ref="AD42">4.1*0.73</f>
        <v>2.993</v>
      </c>
      <c r="AE42" s="13" cm="1">
        <f t="array" ref="AE42">3.5*0.79</f>
        <v>2.765</v>
      </c>
      <c r="AF42" s="13" cm="1">
        <f t="array" ref="AF42">4.2*0.81</f>
        <v>3.402</v>
      </c>
      <c r="AG42" s="13"/>
      <c r="AH42" s="13">
        <v>3.3</v>
      </c>
      <c r="AI42" s="13">
        <v>3</v>
      </c>
      <c r="AJ42" s="13">
        <v>3.2</v>
      </c>
      <c r="AK42" s="13">
        <v>3</v>
      </c>
      <c r="AL42" s="13" cm="1">
        <f t="array" ref="AL42">3.56/81.1*75.9</f>
        <v>3.33173859432799</v>
      </c>
      <c r="AM42" s="13"/>
      <c r="AN42" s="13" cm="1">
        <f t="array" ref="AN42">3.8*0.71</f>
        <v>2.698</v>
      </c>
      <c r="AO42" s="13" cm="1">
        <f t="array" ref="AO42">4.5*0.786</f>
        <v>3.537</v>
      </c>
      <c r="AP42" s="13" cm="1">
        <f t="array" ref="AP42">3.86*0.71</f>
        <v>2.7406</v>
      </c>
      <c r="AQ42" s="13">
        <v>3.2</v>
      </c>
      <c r="AR42" s="13" cm="1">
        <f t="array" ref="AR42">2.9*0.827</f>
        <v>2.3983</v>
      </c>
      <c r="AS42" s="13"/>
      <c r="AT42" s="13">
        <v>3</v>
      </c>
      <c r="AU42" s="13">
        <v>2.7</v>
      </c>
    </row>
    <row r="43" ht="20.05" customHeight="1">
      <c r="A43" t="s" s="31">
        <v>225</v>
      </c>
      <c r="B43" s="12" cm="1">
        <f t="array" ref="B43">0.75*0.795</f>
        <v>0.5962499999999999</v>
      </c>
      <c r="C43" s="13" cm="1">
        <f t="array" ref="C43">0.1*4</f>
        <v>0.4</v>
      </c>
      <c r="D43" s="13" cm="1">
        <f t="array" ref="D43">3.4*0.784</f>
        <v>2.6656</v>
      </c>
      <c r="E43" s="13" cm="1">
        <f t="array" ref="E43">1.8*0.683</f>
        <v>1.2294</v>
      </c>
      <c r="F43" s="13" cm="1">
        <f t="array" ref="F43">2.4*0.695</f>
        <v>1.668</v>
      </c>
      <c r="G43" s="13" cm="1">
        <f t="array" ref="G43">3.2*0.847</f>
        <v>2.7104</v>
      </c>
      <c r="H43" s="13">
        <v>0.7</v>
      </c>
      <c r="I43" s="13" cm="1">
        <f t="array" ref="I43">0.75*0.82</f>
        <v>0.615</v>
      </c>
      <c r="J43" s="13">
        <v>0.71</v>
      </c>
      <c r="K43" s="13" cm="1">
        <f t="array" ref="K43">1.2*0.82</f>
        <v>0.984</v>
      </c>
      <c r="L43" s="13" cm="1">
        <f t="array" ref="L43">1.2*0.804</f>
        <v>0.9648</v>
      </c>
      <c r="M43" s="13" cm="1">
        <f t="array" ref="M43">1.1*0.75</f>
        <v>0.825</v>
      </c>
      <c r="N43" s="13">
        <v>1.5</v>
      </c>
      <c r="O43" s="13">
        <v>1.5</v>
      </c>
      <c r="P43" s="13" cm="1">
        <f t="array" ref="P43">1.4*0.78</f>
        <v>1.092</v>
      </c>
      <c r="Q43" s="13" cm="1">
        <f t="array" ref="Q43">1.2*0.73</f>
        <v>0.876</v>
      </c>
      <c r="R43" s="13">
        <v>1.4</v>
      </c>
      <c r="S43" s="13">
        <v>2</v>
      </c>
      <c r="T43" s="13" cm="1">
        <f t="array" ref="T43">1.6*0.71</f>
        <v>1.136</v>
      </c>
      <c r="U43" s="13" cm="1">
        <f t="array" ref="U43">1.4*0.79</f>
        <v>1.106</v>
      </c>
      <c r="V43" s="13" cm="1">
        <f t="array" ref="V43">0</f>
        <v>0</v>
      </c>
      <c r="W43" s="13" cm="1">
        <f t="array" ref="W43">1.6*0.79</f>
        <v>1.264</v>
      </c>
      <c r="X43" s="13" cm="1">
        <f t="array" ref="X43">1.1*0.7</f>
        <v>0.77</v>
      </c>
      <c r="Y43" s="13">
        <v>0.8</v>
      </c>
      <c r="Z43" s="13">
        <v>1.2</v>
      </c>
      <c r="AA43" s="13"/>
      <c r="AB43" s="13"/>
      <c r="AC43" s="13"/>
      <c r="AD43" s="13" cm="1">
        <f t="array" ref="AD43">0.9*0.73</f>
        <v>0.657</v>
      </c>
      <c r="AE43" s="13" cm="1">
        <f t="array" ref="AE43">0.7*0.79</f>
        <v>0.553</v>
      </c>
      <c r="AF43" s="13" cm="1">
        <f t="array" ref="AF43">0.9*0.81</f>
        <v>0.729</v>
      </c>
      <c r="AG43" s="13"/>
      <c r="AH43" s="13">
        <v>0.9</v>
      </c>
      <c r="AI43" s="13">
        <v>0.6</v>
      </c>
      <c r="AJ43" s="13">
        <v>0.9</v>
      </c>
      <c r="AK43" s="13">
        <v>1</v>
      </c>
      <c r="AL43" s="13" cm="1">
        <f t="array" ref="AL43">0.53/81.1*75.9</f>
        <v>0.496017262638718</v>
      </c>
      <c r="AM43" s="13"/>
      <c r="AN43" s="13" cm="1">
        <f t="array" ref="AN43">2.4*0.71</f>
        <v>1.704</v>
      </c>
      <c r="AO43" s="13" cm="1">
        <f t="array" ref="AO43">3.2*0.786</f>
        <v>2.5152</v>
      </c>
      <c r="AP43" s="13" cm="1">
        <f t="array" ref="AP43">0.87*0.71</f>
        <v>0.6177</v>
      </c>
      <c r="AQ43" s="13">
        <v>1</v>
      </c>
      <c r="AR43" s="13" cm="1">
        <f t="array" ref="AR43">0.8*0.827</f>
        <v>0.6616</v>
      </c>
      <c r="AS43" s="13"/>
      <c r="AT43" s="13">
        <v>1.2</v>
      </c>
      <c r="AU43" s="13">
        <v>0.96</v>
      </c>
    </row>
    <row r="44" ht="20.05" customHeight="1">
      <c r="A44" t="s" s="31">
        <v>226</v>
      </c>
      <c r="B44" s="12" cm="1">
        <f t="array" ref="B44">10.65*0.795</f>
        <v>8.466749999999999</v>
      </c>
      <c r="C44" s="13" cm="1">
        <f t="array" ref="C44">2.2*4</f>
        <v>8.800000000000001</v>
      </c>
      <c r="D44" s="13" cm="1">
        <f t="array" ref="D44">8.5*0.784</f>
        <v>6.664</v>
      </c>
      <c r="E44" s="13" cm="1">
        <f t="array" ref="E44">9.1*0.683</f>
        <v>6.2153</v>
      </c>
      <c r="F44" s="13" cm="1">
        <f t="array" ref="F44">9.6*0.695</f>
        <v>6.672</v>
      </c>
      <c r="G44" s="13" cm="1">
        <f t="array" ref="G44">8.4*0.847</f>
        <v>7.1148</v>
      </c>
      <c r="H44" s="13">
        <v>7.2</v>
      </c>
      <c r="I44" s="13" cm="1">
        <f t="array" ref="I44">10.65*0.82</f>
        <v>8.733000000000001</v>
      </c>
      <c r="J44" s="13">
        <v>6.9</v>
      </c>
      <c r="K44" s="13" cm="1">
        <f t="array" ref="K44">11.7*0.82</f>
        <v>9.593999999999999</v>
      </c>
      <c r="L44" s="13" cm="1">
        <f t="array" ref="L44">10*0.804</f>
        <v>8.039999999999999</v>
      </c>
      <c r="M44" s="13" cm="1">
        <f t="array" ref="M44">11.4*0.75</f>
        <v>8.550000000000001</v>
      </c>
      <c r="N44" s="13">
        <v>7.2</v>
      </c>
      <c r="O44" s="13">
        <v>7.3</v>
      </c>
      <c r="P44" s="13" cm="1">
        <f t="array" ref="P44">11.8*0.78</f>
        <v>9.204000000000001</v>
      </c>
      <c r="Q44" s="13" cm="1">
        <f t="array" ref="Q44">11.3*0.73</f>
        <v>8.249000000000001</v>
      </c>
      <c r="R44" s="13">
        <v>9</v>
      </c>
      <c r="S44" s="13">
        <v>6.8</v>
      </c>
      <c r="T44" s="13" cm="1">
        <f t="array" ref="T44">10.4*0.71</f>
        <v>7.384</v>
      </c>
      <c r="U44" s="13" cm="1">
        <f t="array" ref="U44">9.2*0.79</f>
        <v>7.268</v>
      </c>
      <c r="V44" s="13" cm="1">
        <f t="array" ref="V44">13.1*0.77</f>
        <v>10.087</v>
      </c>
      <c r="W44" s="13" cm="1">
        <f t="array" ref="W44">10.1*0.79</f>
        <v>7.979</v>
      </c>
      <c r="X44" s="13" cm="1">
        <f t="array" ref="X44">10.5*0.7</f>
        <v>7.35</v>
      </c>
      <c r="Y44" s="13">
        <v>8.1</v>
      </c>
      <c r="Z44" s="13">
        <v>10.4</v>
      </c>
      <c r="AA44" s="13"/>
      <c r="AB44" s="13"/>
      <c r="AC44" s="13"/>
      <c r="AD44" s="13" cm="1">
        <f t="array" ref="AD44">10.6*0.73</f>
        <v>7.738</v>
      </c>
      <c r="AE44" s="13" cm="1">
        <f t="array" ref="AE44">9*0.79</f>
        <v>7.11</v>
      </c>
      <c r="AF44" s="13" cm="1">
        <f t="array" ref="AF44">10.8*0.81</f>
        <v>8.747999999999999</v>
      </c>
      <c r="AG44" s="13"/>
      <c r="AH44" s="13">
        <v>8.800000000000001</v>
      </c>
      <c r="AI44" s="13">
        <v>8.6</v>
      </c>
      <c r="AJ44" s="13">
        <v>8.1</v>
      </c>
      <c r="AK44" s="13">
        <v>7.9</v>
      </c>
      <c r="AL44" s="13" cm="1">
        <f t="array" ref="AL44">8.99/81.1*75.9</f>
        <v>8.413575832305799</v>
      </c>
      <c r="AM44" s="13"/>
      <c r="AN44" s="13" cm="1">
        <f t="array" ref="AN44">9.3*0.71</f>
        <v>6.603</v>
      </c>
      <c r="AO44" s="13" cm="1">
        <f t="array" ref="AO44">9.7*0.786</f>
        <v>7.6242</v>
      </c>
      <c r="AP44" s="13" cm="1">
        <f t="array" ref="AP44">8.86*0.71</f>
        <v>6.2906</v>
      </c>
      <c r="AQ44" s="13">
        <v>9.1</v>
      </c>
      <c r="AR44" s="13" cm="1">
        <f t="array" ref="AR44">8*0.827</f>
        <v>6.616</v>
      </c>
      <c r="AS44" s="13"/>
      <c r="AT44" s="13">
        <v>7.7</v>
      </c>
      <c r="AU44" s="13">
        <v>6.6</v>
      </c>
    </row>
    <row r="45" ht="20.05" customHeight="1">
      <c r="A45" t="s" s="31">
        <v>227</v>
      </c>
      <c r="B45" s="12" cm="1">
        <f t="array" ref="B45">5.15*0.795</f>
        <v>4.09425</v>
      </c>
      <c r="C45" s="13" cm="1">
        <f t="array" ref="C45">1.1*4</f>
        <v>4.4</v>
      </c>
      <c r="D45" s="13" cm="1">
        <f t="array" ref="D45">3.9*0.784</f>
        <v>3.0576</v>
      </c>
      <c r="E45" s="13" cm="1">
        <f t="array" ref="E45">4.3*0.683</f>
        <v>2.9369</v>
      </c>
      <c r="F45" s="13" cm="1">
        <f t="array" ref="F45">4.7*0.695</f>
        <v>3.2665</v>
      </c>
      <c r="G45" s="13" cm="1">
        <f t="array" ref="G45">4.8*0.847</f>
        <v>4.0656</v>
      </c>
      <c r="H45" s="13">
        <v>3.4</v>
      </c>
      <c r="I45" s="13" cm="1">
        <f t="array" ref="I45">5.15*0.82</f>
        <v>4.223</v>
      </c>
      <c r="J45" s="13">
        <v>3.3</v>
      </c>
      <c r="K45" s="13" cm="1">
        <f t="array" ref="K45">5.3*0.82</f>
        <v>4.346</v>
      </c>
      <c r="L45" s="13" cm="1">
        <f t="array" ref="L45">4.8*0.804</f>
        <v>3.8592</v>
      </c>
      <c r="M45" s="13" cm="1">
        <f t="array" ref="M45">5.1*0.75</f>
        <v>3.825</v>
      </c>
      <c r="N45" s="13">
        <v>3.6</v>
      </c>
      <c r="O45" s="13">
        <v>3.6</v>
      </c>
      <c r="P45" s="13" cm="1">
        <f t="array" ref="P45">5*0.78</f>
        <v>3.9</v>
      </c>
      <c r="Q45" s="13" cm="1">
        <f t="array" ref="Q45">5.3*0.73</f>
        <v>3.869</v>
      </c>
      <c r="R45" s="13">
        <v>4.2</v>
      </c>
      <c r="S45" s="13">
        <v>4</v>
      </c>
      <c r="T45" s="13" cm="1">
        <f t="array" ref="T45">4.4*0.71</f>
        <v>3.124</v>
      </c>
      <c r="U45" s="13" cm="1">
        <f t="array" ref="U45">4.3*0.79</f>
        <v>3.397</v>
      </c>
      <c r="V45" s="13" cm="1">
        <f t="array" ref="V45">3.2*0.77</f>
        <v>2.464</v>
      </c>
      <c r="W45" s="13" cm="1">
        <f t="array" ref="W45">6.5*0.79</f>
        <v>5.135</v>
      </c>
      <c r="X45" s="13" cm="1">
        <f t="array" ref="X45">6.1*0.7</f>
        <v>4.27</v>
      </c>
      <c r="Y45" s="13">
        <v>3.8</v>
      </c>
      <c r="Z45" s="13">
        <v>4.8</v>
      </c>
      <c r="AA45" s="13"/>
      <c r="AB45" s="13"/>
      <c r="AC45" s="13"/>
      <c r="AD45" s="13" cm="1">
        <f t="array" ref="AD45">5.2*0.73</f>
        <v>3.796</v>
      </c>
      <c r="AE45" s="13" cm="1">
        <f t="array" ref="AE45">4.4*0.79</f>
        <v>3.476</v>
      </c>
      <c r="AF45" s="13" cm="1">
        <f t="array" ref="AF45">5.1*0.81</f>
        <v>4.131</v>
      </c>
      <c r="AG45" s="13"/>
      <c r="AH45" s="13">
        <v>3.9</v>
      </c>
      <c r="AI45" s="13">
        <v>4</v>
      </c>
      <c r="AJ45" s="13">
        <v>3.5</v>
      </c>
      <c r="AK45" s="13">
        <v>3.5</v>
      </c>
      <c r="AL45" s="13" cm="1">
        <f t="array" ref="AL45">4.44/81.1*75.9</f>
        <v>4.15531442663379</v>
      </c>
      <c r="AM45" s="13"/>
      <c r="AN45" s="13" cm="1">
        <f t="array" ref="AN45">4.1*0.71</f>
        <v>2.911</v>
      </c>
      <c r="AO45" s="13" cm="1">
        <f t="array" ref="AO45">4.4*0.786</f>
        <v>3.4584</v>
      </c>
      <c r="AP45" s="13" cm="1">
        <f t="array" ref="AP45">5*0.71</f>
        <v>3.55</v>
      </c>
      <c r="AQ45" s="13">
        <v>4.1</v>
      </c>
      <c r="AR45" s="13" cm="1">
        <f t="array" ref="AR45">3.4*0.827</f>
        <v>2.8118</v>
      </c>
      <c r="AS45" s="13"/>
      <c r="AT45" s="13">
        <v>3.6</v>
      </c>
      <c r="AU45" s="13">
        <v>3.2</v>
      </c>
    </row>
    <row r="46" ht="20.05" customHeight="1">
      <c r="A46" t="s" s="31">
        <v>228</v>
      </c>
      <c r="B46" s="12" cm="1">
        <f t="array" ref="B46">4.57*0.795</f>
        <v>3.63315</v>
      </c>
      <c r="C46" s="13" cm="1">
        <f t="array" ref="C46">0.9*4</f>
        <v>3.6</v>
      </c>
      <c r="D46" s="13" cm="1">
        <f t="array" ref="D46">4.8*0.784</f>
        <v>3.7632</v>
      </c>
      <c r="E46" s="13" cm="1">
        <f t="array" ref="E46">4.9*0.683</f>
        <v>3.3467</v>
      </c>
      <c r="F46" s="13" cm="1">
        <f t="array" ref="F46">5.1*0.695</f>
        <v>3.5445</v>
      </c>
      <c r="G46" s="13" cm="1">
        <f t="array" ref="G46">5.7*0.847</f>
        <v>4.8279</v>
      </c>
      <c r="H46" s="13">
        <v>2.9</v>
      </c>
      <c r="I46" s="13" cm="1">
        <f t="array" ref="I46">4.57*0.82</f>
        <v>3.7474</v>
      </c>
      <c r="J46" s="13">
        <v>2.7</v>
      </c>
      <c r="K46" s="13" cm="1">
        <f t="array" ref="K46">4.4*0.82</f>
        <v>3.608</v>
      </c>
      <c r="L46" s="13" cm="1">
        <f t="array" ref="L46">4.2*0.804</f>
        <v>3.3768</v>
      </c>
      <c r="M46" s="13" cm="1">
        <f t="array" ref="M46">4.3*0.75</f>
        <v>3.225</v>
      </c>
      <c r="N46" s="13">
        <v>3.7</v>
      </c>
      <c r="O46" s="13">
        <v>3.7</v>
      </c>
      <c r="P46" s="13" cm="1">
        <f t="array" ref="P46">4.2*0.78</f>
        <v>3.276</v>
      </c>
      <c r="Q46" s="13" cm="1">
        <f t="array" ref="Q46">4.5*0.73</f>
        <v>3.285</v>
      </c>
      <c r="R46" s="13">
        <v>3.5</v>
      </c>
      <c r="S46" s="13">
        <v>2.8</v>
      </c>
      <c r="T46" s="13" cm="1">
        <f t="array" ref="T46">8*0.71</f>
        <v>5.68</v>
      </c>
      <c r="U46" s="13" cm="1">
        <f t="array" ref="U46">3.9*0.79</f>
        <v>3.081</v>
      </c>
      <c r="V46" s="13" cm="1">
        <f t="array" ref="V46">0</f>
        <v>0</v>
      </c>
      <c r="W46" s="13" cm="1">
        <f t="array" ref="W46">5*0.79</f>
        <v>3.95</v>
      </c>
      <c r="X46" s="13" cm="1">
        <f t="array" ref="X46">4.4*0.7</f>
        <v>3.08</v>
      </c>
      <c r="Y46" s="13">
        <v>3.3</v>
      </c>
      <c r="Z46" s="13">
        <v>3.6</v>
      </c>
      <c r="AA46" s="13"/>
      <c r="AB46" s="13"/>
      <c r="AC46" s="13"/>
      <c r="AD46" s="13" cm="1">
        <f t="array" ref="AD46">4.7*0.73</f>
        <v>3.431</v>
      </c>
      <c r="AE46" s="13" cm="1">
        <f t="array" ref="AE46">4*0.79</f>
        <v>3.16</v>
      </c>
      <c r="AF46" s="13" cm="1">
        <f t="array" ref="AF46">4.6*0.81</f>
        <v>3.726</v>
      </c>
      <c r="AG46" s="13"/>
      <c r="AH46" s="13">
        <v>3.3</v>
      </c>
      <c r="AI46" s="13">
        <v>3.2</v>
      </c>
      <c r="AJ46" s="13">
        <v>3.2</v>
      </c>
      <c r="AK46" s="13">
        <v>3.1</v>
      </c>
      <c r="AL46" s="13" cm="1">
        <f t="array" ref="AL46">4.72/81.1*75.9</f>
        <v>4.41736128236745</v>
      </c>
      <c r="AM46" s="13"/>
      <c r="AN46" s="13" cm="1">
        <f t="array" ref="AN46">4.4*0.71</f>
        <v>3.124</v>
      </c>
      <c r="AO46" s="13" cm="1">
        <f t="array" ref="AO46">5.1*0.786</f>
        <v>4.0086</v>
      </c>
      <c r="AP46" s="13" cm="1">
        <f t="array" ref="AP46">3.86*0.71</f>
        <v>2.7406</v>
      </c>
      <c r="AQ46" s="13">
        <v>3.4</v>
      </c>
      <c r="AR46" s="13" cm="1">
        <f t="array" ref="AR46">3*0.827</f>
        <v>2.481</v>
      </c>
      <c r="AS46" s="13"/>
      <c r="AT46" s="13">
        <v>3.2</v>
      </c>
      <c r="AU46" s="13">
        <v>3.2</v>
      </c>
    </row>
    <row r="47" ht="20.05" customHeight="1">
      <c r="A47" t="s" s="9">
        <v>229</v>
      </c>
      <c r="B47" s="32" cm="1">
        <f t="array" ref="B47">B36+B40+B41+B42+B43+B44+B45+B46</f>
        <v>79.49205000000001</v>
      </c>
      <c r="C47" s="33" cm="1">
        <f t="array" ref="C47">C36+C40+C41+C42+C43+C44+C45+C46</f>
        <v>80.8</v>
      </c>
      <c r="D47" s="33" cm="1">
        <f t="array" ref="D47">D36+D40+D41+D42+D43+D44+D45+D46</f>
        <v>79.184</v>
      </c>
      <c r="E47" s="33" cm="1">
        <f t="array" ref="E47">E36+E40+E41+E42+E43+E44+E45+E46</f>
        <v>68.3</v>
      </c>
      <c r="F47" s="33" cm="1">
        <f t="array" ref="F47">F36+F40+F41+F42+F43+F44+F45+F46</f>
        <v>69.5</v>
      </c>
      <c r="G47" s="33" cm="1">
        <f t="array" ref="G47">G36+G40+G41+G42+G43+G44+G45+G46</f>
        <v>84.7</v>
      </c>
      <c r="H47" s="33" cm="1">
        <f t="array" ref="H47">H36+H40+H41+H42+H43+H44+H45+H46</f>
        <v>65.521</v>
      </c>
      <c r="I47" s="33" cm="1">
        <f t="array" ref="I47">I36+I40+I41+I42+I43+I44+I45+I46</f>
        <v>81.9918</v>
      </c>
      <c r="J47" s="33" cm="1">
        <f t="array" ref="J47">J36+J40+J41+J42+J43+J44+J45+J46</f>
        <v>78.81</v>
      </c>
      <c r="K47" s="33" cm="1">
        <f t="array" ref="K47">K36+K40+K41+K42+K43+K44+K45+K46</f>
        <v>84.148</v>
      </c>
      <c r="L47" s="33" cm="1">
        <f t="array" ref="L47">L36+L40+L41+L42+L43+L44+L45+L46</f>
        <v>82.0448</v>
      </c>
      <c r="M47" s="33" cm="1">
        <f t="array" ref="M47">M36+M40+M41+M42+M43+M44+M45+M46</f>
        <v>75.22499999999999</v>
      </c>
      <c r="N47" s="33" cm="1">
        <f t="array" ref="N47">N36+N40+N41+N42+N43+N44+N45+N46</f>
        <v>87.3</v>
      </c>
      <c r="O47" s="33" cm="1">
        <f t="array" ref="O47">O36+O40+O41+O42+O43+O44+O45+O46</f>
        <v>82.90000000000001</v>
      </c>
      <c r="P47" s="33" cm="1">
        <f t="array" ref="P47">P36+P40+P41+P42+P43+P44+P45+P46</f>
        <v>81.992</v>
      </c>
      <c r="Q47" s="33" cm="1">
        <f t="array" ref="Q47">Q36+Q40+Q41+Q42+Q43+Q44+Q45+Q46</f>
        <v>72.92700000000001</v>
      </c>
      <c r="R47" s="33" cm="1">
        <f t="array" ref="R47">R36+R40+R41+R42+R43+R44+R45+R46</f>
        <v>83.97499999999999</v>
      </c>
      <c r="S47" s="33" cm="1">
        <f t="array" ref="S47">S36+S40+S41+S42+S43+S44+S45+S46</f>
        <v>70.8</v>
      </c>
      <c r="T47" s="33" cm="1">
        <f t="array" ref="T47">T36+T40+T41+T42+T43+T44+T45+T46</f>
        <v>71.994</v>
      </c>
      <c r="U47" s="33" cm="1">
        <f t="array" ref="U47">U36+U40+U41+U42+U43+U44+U45+U46</f>
        <v>80.264</v>
      </c>
      <c r="V47" s="33" cm="1">
        <f t="array" ref="V47">V36+V40+V41+V42+V43+V44+V45+V46</f>
        <v>77</v>
      </c>
      <c r="W47" s="33" cm="1">
        <f t="array" ref="W47">W36+W40+W41+W42+W43+W44+W45+W46</f>
        <v>79</v>
      </c>
      <c r="X47" s="33" cm="1">
        <f t="array" ref="X47">X36+X40+X41+X42+X43+X44+X45+X46</f>
        <v>69.86</v>
      </c>
      <c r="Y47" s="33" cm="1">
        <f t="array" ref="Y47">Y36+Y40+Y41+Y42+Y43+Y44+Y45+Y46</f>
        <v>77.64</v>
      </c>
      <c r="Z47" s="33" cm="1">
        <f t="array" ref="Z47">Z36+Z40+Z41+Z42+Z43+Z44+Z45+Z46</f>
        <v>88.40000000000001</v>
      </c>
      <c r="AA47" s="33" cm="1">
        <f t="array" ref="AA47">AA36+AA40+AA41+AA42+AA43+AA44+AA45+AA46</f>
        <v>0</v>
      </c>
      <c r="AB47" s="33" cm="1">
        <f t="array" ref="AB47">AB36+AB40+AB41+AB42+AB43+AB44+AB45+AB46</f>
        <v>0</v>
      </c>
      <c r="AC47" s="33" cm="1">
        <f t="array" ref="AC47">AC36+AC40+AC41+AC42+AC43+AC44+AC45+AC46</f>
        <v>0</v>
      </c>
      <c r="AD47" s="33" cm="1">
        <f t="array" ref="AD47">AD36+AD40+AD41+AD42+AD43+AD44+AD45+AD46</f>
        <v>73</v>
      </c>
      <c r="AE47" s="33" cm="1">
        <f t="array" ref="AE47">AE36+AE40+AE41+AE42+AE43+AE44+AE45+AE46</f>
        <v>79.23699999999999</v>
      </c>
      <c r="AF47" s="33" cm="1">
        <f t="array" ref="AF47">AF36+AF40+AF41+AF42+AF43+AF44+AF45+AF46</f>
        <v>81.53700000000001</v>
      </c>
      <c r="AG47" s="33" cm="1">
        <f t="array" ref="AG47">AG36+AG40+AG41+AG42+AG43+AG44+AG45+AG46</f>
        <v>0</v>
      </c>
      <c r="AH47" s="33" cm="1">
        <f t="array" ref="AH47">AH36+AH40+AH41+AH42+AH43+AH44+AH45+AH46</f>
        <v>76.8</v>
      </c>
      <c r="AI47" s="33" cm="1">
        <f t="array" ref="AI47">AI36+AI40+AI41+AI42+AI43+AI44+AI45+AI46</f>
        <v>80.09999999999999</v>
      </c>
      <c r="AJ47" s="33" cm="1">
        <f t="array" ref="AJ47">AJ36+AJ40+AJ41+AJ42+AJ43+AJ44+AJ45+AJ46</f>
        <v>72</v>
      </c>
      <c r="AK47" s="33" cm="1">
        <f t="array" ref="AK47">AK36+AK40+AK41+AK42+AK43+AK44+AK45+AK46</f>
        <v>69.8</v>
      </c>
      <c r="AL47" s="33" cm="1">
        <f t="array" ref="AL47">AL36+AL40+AL41+AL42+AL43+AL44+AL45+AL46</f>
        <v>75.90000000000011</v>
      </c>
      <c r="AM47" s="33"/>
      <c r="AN47" s="33" cm="1">
        <f t="array" ref="AN47">AN36+AN40+AN41+AN42+AN43+AN44+AN45+AN46</f>
        <v>71</v>
      </c>
      <c r="AO47" s="33" cm="1">
        <f t="array" ref="AO47">AO36+AO40+AO41+AO42+AO43+AO44+AO45+AO46</f>
        <v>78.59999999999999</v>
      </c>
      <c r="AP47" s="33" cm="1">
        <f t="array" ref="AP47">AP36+AP40+AP41+AP42+AP43+AP44+AP45+AP46</f>
        <v>60.9251</v>
      </c>
      <c r="AQ47" s="33" cm="1">
        <f t="array" ref="AQ47">AQ36+AQ40+AQ41+AQ42+AQ43+AQ44+AQ45+AQ46</f>
        <v>82.40000000000001</v>
      </c>
      <c r="AR47" s="33" cm="1">
        <f t="array" ref="AR47">AR36+AR40+AR41+AR42+AR43+AR44+AR45+AR46</f>
        <v>82.6173</v>
      </c>
      <c r="AS47" s="33" cm="1">
        <f t="array" ref="AS47">AS36+AS40+AS41+AS42+AS43+AS44+AS45+AS46</f>
        <v>0</v>
      </c>
      <c r="AT47" s="33" cm="1">
        <f t="array" ref="AT47">AT36+AT40+AT41+AT42+AT43+AT44+AT45+AT46</f>
        <v>71.3618</v>
      </c>
      <c r="AU47" s="33" cm="1">
        <f t="array" ref="AU47">AU36+AU40+AU41+AU42+AU43+AU44+AU45+AU46</f>
        <v>71.87</v>
      </c>
    </row>
    <row r="48" ht="20.0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8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t="s" s="39">
        <v>230</v>
      </c>
      <c r="AJ48" t="s" s="39">
        <v>230</v>
      </c>
      <c r="AK48" t="s" s="39">
        <v>230</v>
      </c>
      <c r="AL48" s="37"/>
      <c r="AM48" s="37"/>
      <c r="AN48" s="37"/>
      <c r="AO48" s="37"/>
      <c r="AP48" s="37"/>
      <c r="AQ48" s="37"/>
      <c r="AR48" s="37"/>
      <c r="AS48" s="37"/>
      <c r="AT48" s="37"/>
      <c r="AU48" s="37"/>
    </row>
    <row r="49" ht="20.05" customHeight="1">
      <c r="A49" t="s" s="9">
        <v>231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</row>
    <row r="50" ht="20.05" customHeight="1">
      <c r="A50" t="s" s="31">
        <v>232</v>
      </c>
      <c r="B50" s="40" cm="1">
        <f t="array" ref="B50">VLOOKUP(B23,'S-Verweis'!$C$3:$D$13,2,TRUE)</f>
        <v>8</v>
      </c>
      <c r="C50" s="14" cm="1">
        <f t="array" ref="C50">VLOOKUP(C23,'S-Verweis'!$C$3:$D$13,2,TRUE)</f>
        <v>9</v>
      </c>
      <c r="D50" s="14" cm="1">
        <f t="array" ref="D50">VLOOKUP(D23,'S-Verweis'!$C$3:$D$13,2,TRUE)</f>
        <v>8</v>
      </c>
      <c r="E50" s="14" cm="1">
        <f t="array" ref="E50">VLOOKUP(E23,'S-Verweis'!$C$3:$D$13,2,TRUE)</f>
        <v>3</v>
      </c>
      <c r="F50" s="14" cm="1">
        <f t="array" ref="F50">VLOOKUP(F23,'S-Verweis'!$C$3:$D$13,2,TRUE)</f>
        <v>3</v>
      </c>
      <c r="G50" s="14" cm="1">
        <f t="array" ref="G50">VLOOKUP(G23,'S-Verweis'!$C$3:$D$13,2,TRUE)</f>
        <v>10</v>
      </c>
      <c r="H50" s="14" cm="1">
        <f t="array" ref="H50">VLOOKUP(H23,'S-Verweis'!$C$3:$D$13,2,TRUE)</f>
        <v>3</v>
      </c>
      <c r="I50" s="14" cm="1">
        <f t="array" ref="I50">VLOOKUP(I23,'S-Verweis'!$C$3:$D$13,2,TRUE)</f>
        <v>10</v>
      </c>
      <c r="J50" s="14" cm="1">
        <f t="array" ref="J50">VLOOKUP(J23,'S-Verweis'!$C$3:$D$13,2,TRUE)</f>
        <v>9</v>
      </c>
      <c r="K50" s="14" cm="1">
        <f t="array" ref="K50">VLOOKUP(K23,'S-Verweis'!$C$3:$D$13,2,TRUE)</f>
        <v>10</v>
      </c>
      <c r="L50" s="14" cm="1">
        <f t="array" ref="L50">VLOOKUP(L23,'S-Verweis'!$C$3:$D$13,2,TRUE)</f>
        <v>9</v>
      </c>
      <c r="M50" s="14" cm="1">
        <f t="array" ref="M50">VLOOKUP(M23,'S-Verweis'!$C$3:$D$13,2,TRUE)</f>
        <v>6</v>
      </c>
      <c r="N50" s="14" cm="1">
        <f t="array" ref="N50">VLOOKUP(N23,'S-Verweis'!$C$3:$D$13,2,TRUE)</f>
        <v>9</v>
      </c>
      <c r="O50" s="14" cm="1">
        <f t="array" ref="O50">VLOOKUP(O23,'S-Verweis'!$C$3:$D$13,2,TRUE)</f>
        <v>6</v>
      </c>
      <c r="P50" s="14" cm="1">
        <f t="array" ref="P50">VLOOKUP(P23,'S-Verweis'!$C$3:$D$13,2,TRUE)</f>
        <v>8</v>
      </c>
      <c r="Q50" s="14" cm="1">
        <f t="array" ref="Q50">VLOOKUP(Q23,'S-Verweis'!$C$3:$D$13,2,TRUE)</f>
        <v>5</v>
      </c>
      <c r="R50" s="14" cm="1">
        <f t="array" ref="R50">VLOOKUP(R23,'S-Verweis'!$C$3:$D$13,2,TRUE)</f>
        <v>10</v>
      </c>
      <c r="S50" s="14" cm="1">
        <f t="array" ref="S50">VLOOKUP(S23,'S-Verweis'!$C$3:$D$13,2,TRUE)</f>
        <v>10</v>
      </c>
      <c r="T50" s="14" cm="1">
        <f t="array" ref="T50">VLOOKUP(T23,'S-Verweis'!$C$3:$D$13,2,TRUE)</f>
        <v>4</v>
      </c>
      <c r="U50" s="14" cm="1">
        <f t="array" ref="U50">VLOOKUP(U23,'S-Verweis'!$C$3:$D$13,2,TRUE)</f>
        <v>8</v>
      </c>
      <c r="V50" s="14" cm="1">
        <f t="array" ref="V50">VLOOKUP(V23,'S-Verweis'!$C$3:$D$13,2,TRUE)</f>
        <v>7</v>
      </c>
      <c r="W50" s="14" cm="1">
        <f t="array" ref="W50">VLOOKUP(W23,'S-Verweis'!$C$3:$D$13,2,TRUE)</f>
        <v>8</v>
      </c>
      <c r="X50" s="14" cm="1">
        <f t="array" ref="X50">VLOOKUP(X23,'S-Verweis'!$C$3:$D$13,2,TRUE)</f>
        <v>4</v>
      </c>
      <c r="Y50" s="14" cm="1">
        <f t="array" ref="Y50">VLOOKUP(Y23,'S-Verweis'!$C$3:$D$13,2,TRUE)</f>
        <v>8</v>
      </c>
      <c r="Z50" s="14" cm="1">
        <f t="array" ref="Z50">VLOOKUP(Z23,'S-Verweis'!$C$3:$D$13,2,TRUE)</f>
        <v>10</v>
      </c>
      <c r="AA50" s="14" cm="1">
        <f t="array" ref="AA50">VLOOKUP(AA23,'S-Verweis'!$C$3:$D$13,2,TRUE)</f>
        <v>10</v>
      </c>
      <c r="AB50" s="14" cm="1">
        <f t="array" ref="AB50">VLOOKUP(AB23,'S-Verweis'!$C$3:$D$13,2,TRUE)</f>
        <v>10</v>
      </c>
      <c r="AC50" s="14" cm="1">
        <f t="array" ref="AC50">VLOOKUP(AC23,'S-Verweis'!$C$3:$D$13,2,TRUE)</f>
        <v>10</v>
      </c>
      <c r="AD50" s="14" cm="1">
        <f t="array" ref="AD50">VLOOKUP(AD23,'S-Verweis'!$C$3:$D$13,2,TRUE)</f>
        <v>5</v>
      </c>
      <c r="AE50" s="14" cm="1">
        <f t="array" ref="AE50">VLOOKUP(AE23,'S-Verweis'!$C$3:$D$13,2,TRUE)</f>
        <v>8</v>
      </c>
      <c r="AF50" s="14" cm="1">
        <f t="array" ref="AF50">VLOOKUP(AF23,'S-Verweis'!$C$3:$D$13,2,TRUE)</f>
        <v>9</v>
      </c>
      <c r="AG50" s="14" cm="1">
        <f t="array" ref="AG50">VLOOKUP(AG23,'S-Verweis'!$C$3:$D$13,2,TRUE)</f>
        <v>7</v>
      </c>
      <c r="AH50" s="14" cm="1">
        <f t="array" ref="AH50">VLOOKUP(AH23,'S-Verweis'!$C$3:$D$13,2,TRUE)</f>
        <v>6</v>
      </c>
      <c r="AI50" s="14" cm="1">
        <f t="array" ref="AI50">VLOOKUP(AI23,'S-Verweis'!$C$3:$D$13,2,TRUE)</f>
        <v>9</v>
      </c>
      <c r="AJ50" s="14" cm="1">
        <f t="array" ref="AJ50">VLOOKUP(AJ23,'S-Verweis'!$C$3:$D$13,2,TRUE)</f>
        <v>5</v>
      </c>
      <c r="AK50" s="14" cm="1">
        <f t="array" ref="AK50">VLOOKUP(AK23,'S-Verweis'!$C$3:$D$13,2,TRUE)</f>
        <v>4</v>
      </c>
      <c r="AL50" s="14" cm="1">
        <f t="array" ref="AL50">VLOOKUP(AL23,'S-Verweis'!$C$3:$D$13,2,TRUE)</f>
        <v>6</v>
      </c>
      <c r="AM50" s="14" cm="1">
        <f t="array" ref="AM50">VLOOKUP(AM23,'S-Verweis'!$C$3:$D$13,2,TRUE)</f>
        <v>9</v>
      </c>
      <c r="AN50" s="14" cm="1">
        <f t="array" ref="AN50">VLOOKUP(AN23,'S-Verweis'!$C$3:$D$13,2,TRUE)</f>
        <v>4</v>
      </c>
      <c r="AO50" s="14" cm="1">
        <f t="array" ref="AO50">VLOOKUP(AO23,'S-Verweis'!$C$3:$D$13,2,TRUE)</f>
        <v>8</v>
      </c>
      <c r="AP50" s="14" cm="1">
        <f t="array" ref="AP50">VLOOKUP(AP23,'S-Verweis'!$C$3:$D$13,2,TRUE)</f>
        <v>4</v>
      </c>
      <c r="AQ50" s="14" cm="1">
        <f t="array" ref="AQ50">VLOOKUP(AQ23,'S-Verweis'!$C$3:$D$13,2,TRUE)</f>
        <v>5</v>
      </c>
      <c r="AR50" s="14" cm="1">
        <f t="array" ref="AR50">VLOOKUP(AR23,'S-Verweis'!$C$3:$D$13,2,TRUE)</f>
        <v>10</v>
      </c>
      <c r="AS50" s="14" cm="1">
        <f t="array" ref="AS50">VLOOKUP(AS23,'S-Verweis'!$C$3:$D$13,2,TRUE)</f>
        <v>7</v>
      </c>
      <c r="AT50" s="14" cm="1">
        <f t="array" ref="AT50">VLOOKUP(AT23,'S-Verweis'!$C$3:$D$13,2,TRUE)</f>
        <v>5</v>
      </c>
      <c r="AU50" s="14" cm="1">
        <f t="array" ref="AU50">VLOOKUP(AU23,'S-Verweis'!$C$3:$D$13,2,TRUE)</f>
        <v>5</v>
      </c>
    </row>
    <row r="51" ht="20.05" customHeight="1">
      <c r="A51" t="s" s="31">
        <v>233</v>
      </c>
      <c r="B51" s="40" cm="1">
        <f t="array" ref="B51">VLOOKUP(B36,'S-Verweis'!$C$15:$D$25,2,TRUE)</f>
        <v>8</v>
      </c>
      <c r="C51" s="14" cm="1">
        <f t="array" ref="C51">VLOOKUP(C36,'S-Verweis'!$C$15:$D$25,2,TRUE)</f>
        <v>7</v>
      </c>
      <c r="D51" s="14" cm="1">
        <f t="array" ref="D51">VLOOKUP(D36,'S-Verweis'!$C$15:$D$25,2,TRUE)</f>
        <v>9</v>
      </c>
      <c r="E51" s="14" cm="1">
        <f t="array" ref="E51">VLOOKUP(E36,'S-Verweis'!$C$15:$D$25,2,TRUE)</f>
        <v>0</v>
      </c>
      <c r="F51" s="14" cm="1">
        <f t="array" ref="F51">VLOOKUP(F36,'S-Verweis'!$C$15:$D$25,2,TRUE)</f>
        <v>2</v>
      </c>
      <c r="G51" s="14" cm="1">
        <f t="array" ref="G51">VLOOKUP(G36,'S-Verweis'!$C$15:$D$25,2,TRUE)</f>
        <v>7</v>
      </c>
      <c r="H51" s="14" cm="1">
        <f t="array" ref="H51">VLOOKUP(H36,'S-Verweis'!$C$15:$D$25,2,TRUE)</f>
        <v>2</v>
      </c>
      <c r="I51" s="14" cm="1">
        <f t="array" ref="I51">VLOOKUP(I36,'S-Verweis'!$C$15:$D$25,2,TRUE)</f>
        <v>8</v>
      </c>
      <c r="J51" s="14" cm="1">
        <f t="array" ref="J51">VLOOKUP(J36,'S-Verweis'!$C$15:$D$25,2,TRUE)</f>
        <v>10</v>
      </c>
      <c r="K51" s="14" cm="1">
        <f t="array" ref="K51">VLOOKUP(K36,'S-Verweis'!$C$15:$D$25,2,TRUE)</f>
        <v>7</v>
      </c>
      <c r="L51" s="14" cm="1">
        <f t="array" ref="L51">VLOOKUP(L36,'S-Verweis'!$C$15:$D$25,2,TRUE)</f>
        <v>10</v>
      </c>
      <c r="M51" s="14" cm="1">
        <f t="array" ref="M51">VLOOKUP(M36,'S-Verweis'!$C$15:$D$25,2,TRUE)</f>
        <v>5</v>
      </c>
      <c r="N51" s="14" cm="1">
        <f t="array" ref="N51">VLOOKUP(N36,'S-Verweis'!$C$15:$D$25,2,TRUE)</f>
        <v>5</v>
      </c>
      <c r="O51" s="14" cm="1">
        <f t="array" ref="O51">VLOOKUP(O36,'S-Verweis'!$C$15:$D$25,2,TRUE)</f>
        <v>2</v>
      </c>
      <c r="P51" s="14" cm="1">
        <f t="array" ref="P51">VLOOKUP(P36,'S-Verweis'!$C$15:$D$25,2,TRUE)</f>
        <v>5</v>
      </c>
      <c r="Q51" s="14" cm="1">
        <f t="array" ref="Q51">VLOOKUP(Q36,'S-Verweis'!$C$15:$D$25,2,TRUE)</f>
        <v>5</v>
      </c>
      <c r="R51" s="14" cm="1">
        <f t="array" ref="R51">VLOOKUP(R36,'S-Verweis'!$C$15:$D$25,2,TRUE)</f>
        <v>7</v>
      </c>
      <c r="S51" s="14" cm="1">
        <f t="array" ref="S51">VLOOKUP(S36,'S-Verweis'!$C$15:$D$25,2,TRUE)</f>
        <v>4</v>
      </c>
      <c r="T51" s="14" cm="1">
        <f t="array" ref="T51">VLOOKUP(T36,'S-Verweis'!$C$15:$D$25,2,TRUE)</f>
        <v>5</v>
      </c>
      <c r="U51" s="14" cm="1">
        <f t="array" ref="U51">VLOOKUP(U36,'S-Verweis'!$C$15:$D$25,2,TRUE)</f>
        <v>10</v>
      </c>
      <c r="V51" s="14" cm="1">
        <f t="array" ref="V51">VLOOKUP(V36,'S-Verweis'!$C$15:$D$25,2,TRUE)</f>
        <v>10</v>
      </c>
      <c r="W51" s="14" cm="1">
        <f t="array" ref="W51">VLOOKUP(W36,'S-Verweis'!$C$15:$D$25,2,TRUE)</f>
        <v>7</v>
      </c>
      <c r="X51" s="14" cm="1">
        <f t="array" ref="X51">VLOOKUP(X36,'S-Verweis'!$C$15:$D$25,2,TRUE)</f>
        <v>3</v>
      </c>
      <c r="Y51" s="14" cm="1">
        <f t="array" ref="Y51">VLOOKUP(Y36,'S-Verweis'!$C$15:$D$25,2,TRUE)</f>
        <v>6</v>
      </c>
      <c r="Z51" s="14" cm="1">
        <f t="array" ref="Z51">VLOOKUP(Z36,'S-Verweis'!$C$15:$D$25,2,TRUE)</f>
        <v>7</v>
      </c>
      <c r="AA51" s="14" cm="1">
        <f t="array" ref="AA51">VLOOKUP(AA36,'S-Verweis'!$C$15:$D$25,2,TRUE)</f>
        <v>0</v>
      </c>
      <c r="AB51" s="14" cm="1">
        <f t="array" ref="AB51">VLOOKUP(AB36,'S-Verweis'!$C$15:$D$25,2,TRUE)</f>
        <v>0</v>
      </c>
      <c r="AC51" s="14" cm="1">
        <f t="array" ref="AC51">VLOOKUP(AC36,'S-Verweis'!$C$15:$D$25,2,TRUE)</f>
        <v>0</v>
      </c>
      <c r="AD51" s="14" cm="1">
        <f t="array" ref="AD51">VLOOKUP(AD36,'S-Verweis'!$C$15:$D$25,2,TRUE)</f>
        <v>5</v>
      </c>
      <c r="AE51" s="14" cm="1">
        <f t="array" ref="AE51">VLOOKUP(AE36,'S-Verweis'!$C$15:$D$25,2,TRUE)</f>
        <v>10</v>
      </c>
      <c r="AF51" s="14" cm="1">
        <f t="array" ref="AF51">VLOOKUP(AF36,'S-Verweis'!$C$15:$D$25,2,TRUE)</f>
        <v>7</v>
      </c>
      <c r="AG51" s="14" cm="1">
        <f t="array" ref="AG51">VLOOKUP(AG36,'S-Verweis'!$C$15:$D$25,2,TRUE)</f>
        <v>0</v>
      </c>
      <c r="AH51" s="14" cm="1">
        <f t="array" ref="AH51">VLOOKUP(AH36,'S-Verweis'!$C$15:$D$25,2,TRUE)</f>
        <v>5</v>
      </c>
      <c r="AI51" s="14" cm="1">
        <f t="array" ref="AI51">VLOOKUP(AI36,'S-Verweis'!$C$15:$D$25,2,TRUE)</f>
        <v>9</v>
      </c>
      <c r="AJ51" s="14" cm="1">
        <f t="array" ref="AJ51">VLOOKUP(AJ36,'S-Verweis'!$C$15:$D$25,2,TRUE)</f>
        <v>3</v>
      </c>
      <c r="AK51" s="14" cm="1">
        <f t="array" ref="AK51">VLOOKUP(AK36,'S-Verweis'!$C$15:$D$25,2,TRUE)</f>
        <v>3</v>
      </c>
      <c r="AL51" s="14" cm="1">
        <f t="array" ref="AL51">VLOOKUP(AL36,'S-Verweis'!$C$15:$D$25,2,TRUE)</f>
        <v>8</v>
      </c>
      <c r="AM51" s="14" cm="1">
        <f t="array" ref="AM51">VLOOKUP(AM36,'S-Verweis'!$C$15:$D$25,2,TRUE)</f>
        <v>9</v>
      </c>
      <c r="AN51" s="14" cm="1">
        <f t="array" ref="AN51">VLOOKUP(AN36,'S-Verweis'!$C$15:$D$25,2,TRUE)</f>
        <v>7</v>
      </c>
      <c r="AO51" s="14" cm="1">
        <f t="array" ref="AO51">VLOOKUP(AO36,'S-Verweis'!$C$15:$D$25,2,TRUE)</f>
        <v>6</v>
      </c>
      <c r="AP51" s="14" cm="1">
        <f t="array" ref="AP51">VLOOKUP(AP36,'S-Verweis'!$C$15:$D$25,2,TRUE)</f>
        <v>0</v>
      </c>
      <c r="AQ51" s="14" cm="1">
        <f t="array" ref="AQ51">VLOOKUP(AQ36,'S-Verweis'!$C$15:$D$25,2,TRUE)</f>
        <v>9</v>
      </c>
      <c r="AR51" s="14" cm="1">
        <f t="array" ref="AR51">VLOOKUP(AR36,'S-Verweis'!$C$15:$D$25,2,TRUE)</f>
        <v>10</v>
      </c>
      <c r="AS51" s="14" cm="1">
        <f t="array" ref="AS51">VLOOKUP(AS36,'S-Verweis'!$C$15:$D$25,2,TRUE)</f>
        <v>0</v>
      </c>
      <c r="AT51" s="14" cm="1">
        <f t="array" ref="AT51">VLOOKUP(AT36,'S-Verweis'!$C$15:$D$25,2,TRUE)</f>
        <v>5</v>
      </c>
      <c r="AU51" s="14" cm="1">
        <f t="array" ref="AU51">VLOOKUP(AU36,'S-Verweis'!$C$15:$D$25,2,TRUE)</f>
        <v>5</v>
      </c>
    </row>
    <row r="52" ht="20.05" customHeight="1">
      <c r="A52" t="s" s="31">
        <v>234</v>
      </c>
      <c r="B52" s="40" cm="1">
        <f t="array" ref="B52">VLOOKUP(B29,'S-Verweis'!$C$27:$D$37,2,TRUE)</f>
        <v>7</v>
      </c>
      <c r="C52" s="14" cm="1">
        <f t="array" ref="C52">VLOOKUP(C29,'S-Verweis'!$C$27:$D$37,2,TRUE)</f>
        <v>7</v>
      </c>
      <c r="D52" s="14" cm="1">
        <f t="array" ref="D52">VLOOKUP(D29,'S-Verweis'!$C$27:$D$37,2,TRUE)</f>
        <v>9</v>
      </c>
      <c r="E52" s="14" cm="1">
        <f t="array" ref="E52">VLOOKUP(E29,'S-Verweis'!$C$27:$D$37,2,TRUE)</f>
        <v>3</v>
      </c>
      <c r="F52" s="14" cm="1">
        <f t="array" ref="F52">VLOOKUP(F29,'S-Verweis'!$C$27:$D$37,2,TRUE)</f>
        <v>4</v>
      </c>
      <c r="G52" s="14" cm="1">
        <f t="array" ref="G52">VLOOKUP(G29,'S-Verweis'!$C$27:$D$37,2,TRUE)</f>
        <v>8</v>
      </c>
      <c r="H52" s="14" cm="1">
        <f t="array" ref="H52">VLOOKUP(H29,'S-Verweis'!$C$27:$D$37,2,TRUE)</f>
        <v>3</v>
      </c>
      <c r="I52" s="14" cm="1">
        <f t="array" ref="I52">VLOOKUP(I29,'S-Verweis'!$C$27:$D$37,2,TRUE)</f>
        <v>8</v>
      </c>
      <c r="J52" s="14" cm="1">
        <f t="array" ref="J52">VLOOKUP(J29,'S-Verweis'!$C$27:$D$37,2,TRUE)</f>
        <v>10</v>
      </c>
      <c r="K52" s="14" cm="1">
        <f t="array" ref="K52">VLOOKUP(K29,'S-Verweis'!$C$27:$D$37,2,TRUE)</f>
        <v>6</v>
      </c>
      <c r="L52" s="14" cm="1">
        <f t="array" ref="L52">VLOOKUP(L29,'S-Verweis'!$C$27:$D$37,2,TRUE)</f>
        <v>9</v>
      </c>
      <c r="M52" s="14" cm="1">
        <f t="array" ref="M52">VLOOKUP(M29,'S-Verweis'!$C$27:$D$37,2,TRUE)</f>
        <v>5</v>
      </c>
      <c r="N52" s="14" cm="1">
        <f t="array" ref="N52">VLOOKUP(N29,'S-Verweis'!$C$27:$D$37,2,TRUE)</f>
        <v>5</v>
      </c>
      <c r="O52" s="14" cm="1">
        <f t="array" ref="O52">VLOOKUP(O29,'S-Verweis'!$C$27:$D$37,2,TRUE)</f>
        <v>2</v>
      </c>
      <c r="P52" s="14" cm="1">
        <f t="array" ref="P52">VLOOKUP(P29,'S-Verweis'!$C$27:$D$37,2,TRUE)</f>
        <v>5</v>
      </c>
      <c r="Q52" s="14" cm="1">
        <f t="array" ref="Q52">VLOOKUP(Q29,'S-Verweis'!$C$27:$D$37,2,TRUE)</f>
        <v>5</v>
      </c>
      <c r="R52" s="14" cm="1">
        <f t="array" ref="R52">VLOOKUP(R29,'S-Verweis'!$C$27:$D$37,2,TRUE)</f>
        <v>7</v>
      </c>
      <c r="S52" s="14" cm="1">
        <f t="array" ref="S52">VLOOKUP(S29,'S-Verweis'!$C$27:$D$37,2,TRUE)</f>
        <v>5</v>
      </c>
      <c r="T52" s="14" cm="1">
        <f t="array" ref="T52">VLOOKUP(T29,'S-Verweis'!$C$27:$D$37,2,TRUE)</f>
        <v>6</v>
      </c>
      <c r="U52" s="14" cm="1">
        <f t="array" ref="U52">VLOOKUP(U29,'S-Verweis'!$C$27:$D$37,2,TRUE)</f>
        <v>10</v>
      </c>
      <c r="V52" s="14" cm="1">
        <f t="array" ref="V52">VLOOKUP(V29,'S-Verweis'!$C$27:$D$37,2,TRUE)</f>
        <v>10</v>
      </c>
      <c r="W52" s="14" cm="1">
        <f t="array" ref="W52">VLOOKUP(W29,'S-Verweis'!$C$27:$D$37,2,TRUE)</f>
        <v>8</v>
      </c>
      <c r="X52" s="14" cm="1">
        <f t="array" ref="X52">VLOOKUP(X29,'S-Verweis'!$C$27:$D$37,2,TRUE)</f>
        <v>5</v>
      </c>
      <c r="Y52" s="14" cm="1">
        <f t="array" ref="Y52">VLOOKUP(Y29,'S-Verweis'!$C$27:$D$37,2,TRUE)</f>
        <v>6</v>
      </c>
      <c r="Z52" s="14" cm="1">
        <f t="array" ref="Z52">VLOOKUP(Z29,'S-Verweis'!$C$27:$D$37,2,TRUE)</f>
        <v>6</v>
      </c>
      <c r="AA52" s="14" cm="1">
        <f t="array" ref="AA52">VLOOKUP(AA29,'S-Verweis'!$C$27:$D$37,2,TRUE)</f>
        <v>0</v>
      </c>
      <c r="AB52" s="14" cm="1">
        <f t="array" ref="AB52">VLOOKUP(AB29,'S-Verweis'!$C$27:$D$37,2,TRUE)</f>
        <v>0</v>
      </c>
      <c r="AC52" s="14" cm="1">
        <f t="array" ref="AC52">VLOOKUP(AC29,'S-Verweis'!$C$27:$D$37,2,TRUE)</f>
        <v>0</v>
      </c>
      <c r="AD52" s="14" cm="1">
        <f t="array" ref="AD52">VLOOKUP(AD29,'S-Verweis'!$C$27:$D$37,2,TRUE)</f>
        <v>5</v>
      </c>
      <c r="AE52" s="14" cm="1">
        <f t="array" ref="AE52">VLOOKUP(AE29,'S-Verweis'!$C$27:$D$37,2,TRUE)</f>
        <v>7</v>
      </c>
      <c r="AF52" s="14" cm="1">
        <f t="array" ref="AF52">VLOOKUP(AF29,'S-Verweis'!$C$27:$D$37,2,TRUE)</f>
        <v>6</v>
      </c>
      <c r="AG52" s="14" cm="1">
        <f t="array" ref="AG52">VLOOKUP(AG29,'S-Verweis'!$C$27:$D$37,2,TRUE)</f>
        <v>0</v>
      </c>
      <c r="AH52" s="14" cm="1">
        <f t="array" ref="AH52">VLOOKUP(AH29,'S-Verweis'!$C$27:$D$37,2,TRUE)</f>
        <v>5</v>
      </c>
      <c r="AI52" s="14" cm="1">
        <f t="array" ref="AI52">VLOOKUP(AI29,'S-Verweis'!$C$27:$D$37,2,TRUE)</f>
        <v>10</v>
      </c>
      <c r="AJ52" s="14" cm="1">
        <f t="array" ref="AJ52">VLOOKUP(AJ29,'S-Verweis'!$C$27:$D$37,2,TRUE)</f>
        <v>4</v>
      </c>
      <c r="AK52" s="14" cm="1">
        <f t="array" ref="AK52">VLOOKUP(AK29,'S-Verweis'!$C$27:$D$37,2,TRUE)</f>
        <v>4</v>
      </c>
      <c r="AL52" s="14" cm="1">
        <f t="array" ref="AL52">VLOOKUP(AL29,'S-Verweis'!$C$27:$D$37,2,TRUE)</f>
        <v>7</v>
      </c>
      <c r="AM52" s="14" cm="1">
        <f t="array" ref="AM52">VLOOKUP(AM29,'S-Verweis'!$C$27:$D$37,2,TRUE)</f>
        <v>9</v>
      </c>
      <c r="AN52" s="14" cm="1">
        <f t="array" ref="AN52">VLOOKUP(AN29,'S-Verweis'!$C$27:$D$37,2,TRUE)</f>
        <v>10</v>
      </c>
      <c r="AO52" s="14" cm="1">
        <f t="array" ref="AO52">VLOOKUP(AO29,'S-Verweis'!$C$27:$D$37,2,TRUE)</f>
        <v>6</v>
      </c>
      <c r="AP52" s="14" cm="1">
        <f t="array" ref="AP52">VLOOKUP(AP29,'S-Verweis'!$C$27:$D$37,2,TRUE)</f>
        <v>2</v>
      </c>
      <c r="AQ52" s="14" cm="1">
        <f t="array" ref="AQ52">VLOOKUP(AQ29,'S-Verweis'!$C$27:$D$37,2,TRUE)</f>
        <v>6</v>
      </c>
      <c r="AR52" s="14" cm="1">
        <f t="array" ref="AR52">VLOOKUP(AR29,'S-Verweis'!$C$27:$D$37,2,TRUE)</f>
        <v>10</v>
      </c>
      <c r="AS52" s="14" cm="1">
        <f t="array" ref="AS52">VLOOKUP(AS29,'S-Verweis'!$C$27:$D$37,2,TRUE)</f>
        <v>0</v>
      </c>
      <c r="AT52" s="14" cm="1">
        <f t="array" ref="AT52">VLOOKUP(AT29,'S-Verweis'!$C$27:$D$37,2,TRUE)</f>
        <v>5</v>
      </c>
      <c r="AU52" s="14" cm="1">
        <f t="array" ref="AU52">VLOOKUP(AU29,'S-Verweis'!$C$27:$D$37,2,TRUE)</f>
        <v>7</v>
      </c>
    </row>
    <row r="53" ht="20.05" customHeight="1">
      <c r="A53" t="s" s="31">
        <v>235</v>
      </c>
      <c r="B53" s="40" cm="1">
        <f t="array" ref="B53">VLOOKUP(B30,'S-Verweis'!$C$39:$D$49,2,TRUE)</f>
        <v>10</v>
      </c>
      <c r="C53" s="14" cm="1">
        <f t="array" ref="C53">VLOOKUP(C30,'S-Verweis'!$C$39:$D$49,2,TRUE)</f>
        <v>10</v>
      </c>
      <c r="D53" s="14" cm="1">
        <f t="array" ref="D53">VLOOKUP(D30,'S-Verweis'!$C$39:$D$49,2,TRUE)</f>
        <v>10</v>
      </c>
      <c r="E53" s="14" cm="1">
        <f t="array" ref="E53">VLOOKUP(E30,'S-Verweis'!$C$39:$D$49,2,TRUE)</f>
        <v>2</v>
      </c>
      <c r="F53" s="14" cm="1">
        <f t="array" ref="F53">VLOOKUP(F30,'S-Verweis'!$C$39:$D$49,2,TRUE)</f>
        <v>2</v>
      </c>
      <c r="G53" s="14" cm="1">
        <f t="array" ref="G53">VLOOKUP(G30,'S-Verweis'!$C$39:$D$49,2,TRUE)</f>
        <v>3</v>
      </c>
      <c r="H53" s="14" cm="1">
        <f t="array" ref="H53">VLOOKUP(H30,'S-Verweis'!$C$39:$D$49,2,TRUE)</f>
        <v>6</v>
      </c>
      <c r="I53" s="14" cm="1">
        <f t="array" ref="I53">VLOOKUP(I30,'S-Verweis'!$C$39:$D$49,2,TRUE)</f>
        <v>10</v>
      </c>
      <c r="J53" s="14" cm="1">
        <f t="array" ref="J53">VLOOKUP(J30,'S-Verweis'!$C$39:$D$49,2,TRUE)</f>
        <v>10</v>
      </c>
      <c r="K53" s="14" cm="1">
        <f t="array" ref="K53">VLOOKUP(K30,'S-Verweis'!$C$39:$D$49,2,TRUE)</f>
        <v>8</v>
      </c>
      <c r="L53" s="14" cm="1">
        <f t="array" ref="L53">VLOOKUP(L30,'S-Verweis'!$C$39:$D$49,2,TRUE)</f>
        <v>10</v>
      </c>
      <c r="M53" s="14" cm="1">
        <f t="array" ref="M53">VLOOKUP(M30,'S-Verweis'!$C$39:$D$49,2,TRUE)</f>
        <v>8</v>
      </c>
      <c r="N53" s="14" cm="1">
        <f t="array" ref="N53">VLOOKUP(N30,'S-Verweis'!$C$39:$D$49,2,TRUE)</f>
        <v>3</v>
      </c>
      <c r="O53" s="14" cm="1">
        <f t="array" ref="O53">VLOOKUP(O30,'S-Verweis'!$C$39:$D$49,2,TRUE)</f>
        <v>3</v>
      </c>
      <c r="P53" s="14" cm="1">
        <f t="array" ref="P53">VLOOKUP(P30,'S-Verweis'!$C$39:$D$49,2,TRUE)</f>
        <v>8</v>
      </c>
      <c r="Q53" s="14" cm="1">
        <f t="array" ref="Q53">VLOOKUP(Q30,'S-Verweis'!$C$39:$D$49,2,TRUE)</f>
        <v>8</v>
      </c>
      <c r="R53" s="14" cm="1">
        <f t="array" ref="R53">VLOOKUP(R30,'S-Verweis'!$C$39:$D$49,2,TRUE)</f>
        <v>8</v>
      </c>
      <c r="S53" s="14" cm="1">
        <f t="array" ref="S53">VLOOKUP(S30,'S-Verweis'!$C$39:$D$49,2,TRUE)</f>
        <v>5</v>
      </c>
      <c r="T53" s="14" cm="1">
        <f t="array" ref="T53">VLOOKUP(T30,'S-Verweis'!$C$39:$D$49,2,TRUE)</f>
        <v>8</v>
      </c>
      <c r="U53" s="14" cm="1">
        <f t="array" ref="U53">VLOOKUP(U30,'S-Verweis'!$C$39:$D$49,2,TRUE)</f>
        <v>10</v>
      </c>
      <c r="V53" s="14" cm="1">
        <f t="array" ref="V53">VLOOKUP(V30,'S-Verweis'!$C$39:$D$49,2,TRUE)</f>
        <v>7</v>
      </c>
      <c r="W53" s="14" cm="1">
        <f t="array" ref="W53">VLOOKUP(W30,'S-Verweis'!$C$39:$D$49,2,TRUE)</f>
        <v>7</v>
      </c>
      <c r="X53" s="14" cm="1">
        <f t="array" ref="X53">VLOOKUP(X30,'S-Verweis'!$C$39:$D$49,2,TRUE)</f>
        <v>6</v>
      </c>
      <c r="Y53" s="14" cm="1">
        <f t="array" ref="Y53">VLOOKUP(Y30,'S-Verweis'!$C$39:$D$49,2,TRUE)</f>
        <v>8</v>
      </c>
      <c r="Z53" s="14" cm="1">
        <f t="array" ref="Z53">VLOOKUP(Z30,'S-Verweis'!$C$39:$D$49,2,TRUE)</f>
        <v>9</v>
      </c>
      <c r="AA53" s="14" cm="1">
        <f t="array" ref="AA53">VLOOKUP(AA30,'S-Verweis'!$C$39:$D$49,2,TRUE)</f>
        <v>0</v>
      </c>
      <c r="AB53" s="14" cm="1">
        <f t="array" ref="AB53">VLOOKUP(AB30,'S-Verweis'!$C$39:$D$49,2,TRUE)</f>
        <v>0</v>
      </c>
      <c r="AC53" s="14" cm="1">
        <f t="array" ref="AC53">VLOOKUP(AC30,'S-Verweis'!$C$39:$D$49,2,TRUE)</f>
        <v>0</v>
      </c>
      <c r="AD53" s="14" cm="1">
        <f t="array" ref="AD53">VLOOKUP(AD30,'S-Verweis'!$C$39:$D$49,2,TRUE)</f>
        <v>8</v>
      </c>
      <c r="AE53" s="14" cm="1">
        <f t="array" ref="AE53">VLOOKUP(AE30,'S-Verweis'!$C$39:$D$49,2,TRUE)</f>
        <v>10</v>
      </c>
      <c r="AF53" s="14" cm="1">
        <f t="array" ref="AF53">VLOOKUP(AF30,'S-Verweis'!$C$39:$D$49,2,TRUE)</f>
        <v>9</v>
      </c>
      <c r="AG53" s="14" cm="1">
        <f t="array" ref="AG53">VLOOKUP(AG30,'S-Verweis'!$C$39:$D$49,2,TRUE)</f>
        <v>0</v>
      </c>
      <c r="AH53" s="14" cm="1">
        <f t="array" ref="AH53">VLOOKUP(AH30,'S-Verweis'!$C$39:$D$49,2,TRUE)</f>
        <v>7</v>
      </c>
      <c r="AI53" s="14" cm="1">
        <f t="array" ref="AI53">VLOOKUP(AI30,'S-Verweis'!$C$39:$D$49,2,TRUE)</f>
        <v>7</v>
      </c>
      <c r="AJ53" s="14" cm="1">
        <f t="array" ref="AJ53">VLOOKUP(AJ30,'S-Verweis'!$C$39:$D$49,2,TRUE)</f>
        <v>6</v>
      </c>
      <c r="AK53" s="14" cm="1">
        <f t="array" ref="AK53">VLOOKUP(AK30,'S-Verweis'!$C$39:$D$49,2,TRUE)</f>
        <v>6</v>
      </c>
      <c r="AL53" s="14" cm="1">
        <f t="array" ref="AL53">VLOOKUP(AL30,'S-Verweis'!$C$39:$D$49,2,TRUE)</f>
        <v>10</v>
      </c>
      <c r="AM53" s="14" cm="1">
        <f t="array" ref="AM53">VLOOKUP(AM30,'S-Verweis'!$C$39:$D$49,2,TRUE)</f>
        <v>8</v>
      </c>
      <c r="AN53" s="14" cm="1">
        <f t="array" ref="AN53">VLOOKUP(AN30,'S-Verweis'!$C$39:$D$49,2,TRUE)</f>
        <v>5</v>
      </c>
      <c r="AO53" s="14" cm="1">
        <f t="array" ref="AO53">VLOOKUP(AO30,'S-Verweis'!$C$39:$D$49,2,TRUE)</f>
        <v>6</v>
      </c>
      <c r="AP53" s="14" cm="1">
        <f t="array" ref="AP53">VLOOKUP(AP30,'S-Verweis'!$C$39:$D$49,2,TRUE)</f>
        <v>6</v>
      </c>
      <c r="AQ53" s="14" cm="1">
        <f t="array" ref="AQ53">VLOOKUP(AQ30,'S-Verweis'!$C$39:$D$49,2,TRUE)</f>
        <v>9</v>
      </c>
      <c r="AR53" s="14" cm="1">
        <f t="array" ref="AR53">VLOOKUP(AR30,'S-Verweis'!$C$39:$D$49,2,TRUE)</f>
        <v>6</v>
      </c>
      <c r="AS53" s="14" cm="1">
        <f t="array" ref="AS53">VLOOKUP(AS30,'S-Verweis'!$C$39:$D$49,2,TRUE)</f>
        <v>0</v>
      </c>
      <c r="AT53" s="14" cm="1">
        <f t="array" ref="AT53">VLOOKUP(AT30,'S-Verweis'!$C$39:$D$49,2,TRUE)</f>
        <v>8</v>
      </c>
      <c r="AU53" s="14" cm="1">
        <f t="array" ref="AU53">VLOOKUP(AU30,'S-Verweis'!$C$39:$D$49,2,TRUE)</f>
        <v>6</v>
      </c>
    </row>
    <row r="54" ht="32.05" customHeight="1">
      <c r="A54" t="s" s="31">
        <v>236</v>
      </c>
      <c r="B54" s="40" cm="1">
        <f t="array" ref="B54">VLOOKUP(B33,'S-Verweis'!$C$51:$D$62,2,TRUE)</f>
        <v>0</v>
      </c>
      <c r="C54" s="14" cm="1">
        <f t="array" ref="C54">VLOOKUP(C33,'S-Verweis'!$C$51:$D$62,2,TRUE)</f>
        <v>3</v>
      </c>
      <c r="D54" s="14" cm="1">
        <f t="array" ref="D54">VLOOKUP(D33,'S-Verweis'!$C$51:$D$62,2,TRUE)</f>
        <v>10</v>
      </c>
      <c r="E54" s="14" cm="1">
        <f t="array" ref="E54">VLOOKUP(E33,'S-Verweis'!$C$51:$D$62,2,TRUE)</f>
        <v>5</v>
      </c>
      <c r="F54" s="14" cm="1">
        <f t="array" ref="F54">VLOOKUP(F33,'S-Verweis'!$C$51:$D$62,2,TRUE)</f>
        <v>6</v>
      </c>
      <c r="G54" s="14" cm="1">
        <f t="array" ref="G54">VLOOKUP(G33,'S-Verweis'!$C$51:$D$62,2,TRUE)</f>
        <v>10</v>
      </c>
      <c r="H54" s="14" cm="1">
        <f t="array" ref="H54">VLOOKUP(H33,'S-Verweis'!$C$51:$D$62,2,TRUE)</f>
        <v>2</v>
      </c>
      <c r="I54" s="14" cm="1">
        <f t="array" ref="I54">VLOOKUP(I33,'S-Verweis'!$C$51:$D$62,2,TRUE)</f>
        <v>0</v>
      </c>
      <c r="J54" s="14" cm="1">
        <f t="array" ref="J54">VLOOKUP(J33,'S-Verweis'!$C$51:$D$62,2,TRUE)</f>
        <v>10</v>
      </c>
      <c r="K54" s="14" cm="1">
        <f t="array" ref="K54">VLOOKUP(K33,'S-Verweis'!$C$51:$D$62,2,TRUE)</f>
        <v>5</v>
      </c>
      <c r="L54" s="14" cm="1">
        <f t="array" ref="L54">VLOOKUP(L33,'S-Verweis'!$C$51:$D$62,2,TRUE)</f>
        <v>10</v>
      </c>
      <c r="M54" s="14" cm="1">
        <f t="array" ref="M54">VLOOKUP(M33,'S-Verweis'!$C$51:$D$62,2,TRUE)</f>
        <v>4</v>
      </c>
      <c r="N54" s="14" cm="1">
        <f t="array" ref="N54">VLOOKUP(N33,'S-Verweis'!$C$51:$D$62,2,TRUE)</f>
        <v>10</v>
      </c>
      <c r="O54" s="14" cm="1">
        <f t="array" ref="O54">VLOOKUP(O33,'S-Verweis'!$C$51:$D$62,2,TRUE)</f>
        <v>10</v>
      </c>
      <c r="P54" s="14" cm="1">
        <f t="array" ref="P54">VLOOKUP(P33,'S-Verweis'!$C$51:$D$62,2,TRUE)</f>
        <v>3</v>
      </c>
      <c r="Q54" s="14" cm="1">
        <f t="array" ref="Q54">VLOOKUP(Q33,'S-Verweis'!$C$51:$D$62,2,TRUE)</f>
        <v>3</v>
      </c>
      <c r="R54" s="14" cm="1">
        <f t="array" ref="R54">VLOOKUP(R33,'S-Verweis'!$C$51:$D$62,2,TRUE)</f>
        <v>4</v>
      </c>
      <c r="S54" s="14" cm="1">
        <f t="array" ref="S54">VLOOKUP(S33,'S-Verweis'!$C$51:$D$62,2,TRUE)</f>
        <v>7</v>
      </c>
      <c r="T54" s="14" cm="1">
        <f t="array" ref="T54">VLOOKUP(T33,'S-Verweis'!$C$51:$D$62,2,TRUE)</f>
        <v>10</v>
      </c>
      <c r="U54" s="14" cm="1">
        <f t="array" ref="U54">VLOOKUP(U33,'S-Verweis'!$C$51:$D$62,2,TRUE)</f>
        <v>10</v>
      </c>
      <c r="V54" s="14" cm="1">
        <f t="array" ref="V54">VLOOKUP(V33,'S-Verweis'!$C$51:$D$62,2,TRUE)</f>
        <v>5</v>
      </c>
      <c r="W54" s="14" cm="1">
        <f t="array" ref="W54">VLOOKUP(W33,'S-Verweis'!$C$51:$D$62,2,TRUE)</f>
        <v>10</v>
      </c>
      <c r="X54" s="14" cm="1">
        <f t="array" ref="X54">VLOOKUP(X33,'S-Verweis'!$C$51:$D$62,2,TRUE)</f>
        <v>3</v>
      </c>
      <c r="Y54" s="14" cm="1">
        <f t="array" ref="Y54">VLOOKUP(Y33,'S-Verweis'!$C$51:$D$62,2,TRUE)</f>
        <v>4</v>
      </c>
      <c r="Z54" s="14" cm="1">
        <f t="array" ref="Z54">VLOOKUP(Z33,'S-Verweis'!$C$51:$D$62,2,TRUE)</f>
        <v>7</v>
      </c>
      <c r="AA54" s="14" cm="1">
        <f t="array" ref="AA54">VLOOKUP(AA33,'S-Verweis'!$C$51:$D$62,2,TRUE)</f>
        <v>0</v>
      </c>
      <c r="AB54" s="14" cm="1">
        <f t="array" ref="AB54">VLOOKUP(AB33,'S-Verweis'!$C$51:$D$62,2,TRUE)</f>
        <v>0</v>
      </c>
      <c r="AC54" s="14" cm="1">
        <f t="array" ref="AC54">VLOOKUP(AC33,'S-Verweis'!$C$51:$D$62,2,TRUE)</f>
        <v>0</v>
      </c>
      <c r="AD54" s="14" cm="1">
        <f t="array" ref="AD54">VLOOKUP(AD33,'S-Verweis'!$C$51:$D$62,2,TRUE)</f>
        <v>6</v>
      </c>
      <c r="AE54" s="14" cm="1">
        <f t="array" ref="AE54">VLOOKUP(AE33,'S-Verweis'!$C$51:$D$62,2,TRUE)</f>
        <v>6</v>
      </c>
      <c r="AF54" s="14" cm="1">
        <f t="array" ref="AF54">VLOOKUP(AF33,'S-Verweis'!$C$51:$D$62,2,TRUE)</f>
        <v>7</v>
      </c>
      <c r="AG54" s="14" cm="1">
        <f t="array" ref="AG54">VLOOKUP(AG33,'S-Verweis'!$C$51:$D$62,2,TRUE)</f>
        <v>0</v>
      </c>
      <c r="AH54" s="14" cm="1">
        <f t="array" ref="AH54">VLOOKUP(AH33,'S-Verweis'!$C$51:$D$62,2,TRUE)</f>
        <v>6</v>
      </c>
      <c r="AI54" s="14" cm="1">
        <f t="array" ref="AI54">VLOOKUP(AI33,'S-Verweis'!$C$51:$D$62,2,TRUE)</f>
        <v>1</v>
      </c>
      <c r="AJ54" s="14" cm="1">
        <f t="array" ref="AJ54">VLOOKUP(AJ33,'S-Verweis'!$C$51:$D$62,2,TRUE)</f>
        <v>3</v>
      </c>
      <c r="AK54" s="14" cm="1">
        <f t="array" ref="AK54">VLOOKUP(AK33,'S-Verweis'!$C$51:$D$62,2,TRUE)</f>
        <v>4</v>
      </c>
      <c r="AL54" s="14" cm="1">
        <f t="array" ref="AL54">VLOOKUP(AL33,'S-Verweis'!$C$51:$D$62,2,TRUE)</f>
        <v>0</v>
      </c>
      <c r="AM54" s="14" cm="1">
        <f t="array" ref="AM54">VLOOKUP(AM33,'S-Verweis'!$C$51:$D$62,2,TRUE)</f>
        <v>10</v>
      </c>
      <c r="AN54" s="14" cm="1">
        <f t="array" ref="AN54">VLOOKUP(AN33,'S-Verweis'!$C$51:$D$62,2,TRUE)</f>
        <v>7</v>
      </c>
      <c r="AO54" s="14" cm="1">
        <f t="array" ref="AO54">VLOOKUP(AO33,'S-Verweis'!$C$51:$D$62,2,TRUE)</f>
        <v>10</v>
      </c>
      <c r="AP54" s="14" cm="1">
        <f t="array" ref="AP54">VLOOKUP(AP33,'S-Verweis'!$C$51:$D$62,2,TRUE)</f>
        <v>1</v>
      </c>
      <c r="AQ54" s="14" cm="1">
        <f t="array" ref="AQ54">VLOOKUP(AQ33,'S-Verweis'!$C$51:$D$62,2,TRUE)</f>
        <v>10</v>
      </c>
      <c r="AR54" s="14" cm="1">
        <f t="array" ref="AR54">VLOOKUP(AR33,'S-Verweis'!$C$51:$D$62,2,TRUE)</f>
        <v>10</v>
      </c>
      <c r="AS54" s="14" cm="1">
        <f t="array" ref="AS54">VLOOKUP(AS33,'S-Verweis'!$C$51:$D$62,2,TRUE)</f>
        <v>0</v>
      </c>
      <c r="AT54" s="14" cm="1">
        <f t="array" ref="AT54">VLOOKUP(AT33,'S-Verweis'!$C$51:$D$62,2,TRUE)</f>
        <v>4</v>
      </c>
      <c r="AU54" s="14" cm="1">
        <f t="array" ref="AU54">VLOOKUP(AU33,'S-Verweis'!$C$51:$D$62,2,TRUE)</f>
        <v>10</v>
      </c>
    </row>
    <row r="55" ht="32.05" customHeight="1">
      <c r="A55" t="s" s="31">
        <v>237</v>
      </c>
      <c r="B55" s="40" cm="1">
        <f t="array" ref="B55">VLOOKUP(B34,'S-Verweis'!$C$64:$D$72,2,TRUE)</f>
        <v>10</v>
      </c>
      <c r="C55" s="14" cm="1">
        <f t="array" ref="C55">VLOOKUP(C34,'S-Verweis'!$C$64:$D$72,2,TRUE)</f>
        <v>6</v>
      </c>
      <c r="D55" s="14" cm="1">
        <f t="array" ref="D55">VLOOKUP(D34,'S-Verweis'!$C$64:$D$72,2,TRUE)</f>
        <v>10</v>
      </c>
      <c r="E55" s="14" cm="1">
        <f t="array" ref="E55">VLOOKUP(E34,'S-Verweis'!$C$64:$D$72,2,TRUE)</f>
        <v>6</v>
      </c>
      <c r="F55" s="14" cm="1">
        <f t="array" ref="F55">VLOOKUP(F34,'S-Verweis'!$C$64:$D$72,2,TRUE)</f>
        <v>8</v>
      </c>
      <c r="G55" s="14" cm="1">
        <f t="array" ref="G55">VLOOKUP(G34,'S-Verweis'!$C$64:$D$72,2,TRUE)</f>
        <v>10</v>
      </c>
      <c r="H55" s="14" cm="1">
        <f t="array" ref="H55">VLOOKUP(H34,'S-Verweis'!$C$64:$D$72,2,TRUE)</f>
        <v>4</v>
      </c>
      <c r="I55" s="14" cm="1">
        <f t="array" ref="I55">VLOOKUP(I34,'S-Verweis'!$C$64:$D$72,2,TRUE)</f>
        <v>10</v>
      </c>
      <c r="J55" s="14" cm="1">
        <f t="array" ref="J55">VLOOKUP(J34,'S-Verweis'!$C$64:$D$72,2,TRUE)</f>
        <v>10</v>
      </c>
      <c r="K55" s="14" cm="1">
        <f t="array" ref="K55">VLOOKUP(K34,'S-Verweis'!$C$64:$D$72,2,TRUE)</f>
        <v>10</v>
      </c>
      <c r="L55" s="14" cm="1">
        <f t="array" ref="L55">VLOOKUP(L34,'S-Verweis'!$C$64:$D$72,2,TRUE)</f>
        <v>10</v>
      </c>
      <c r="M55" s="14" cm="1">
        <f t="array" ref="M55">VLOOKUP(M34,'S-Verweis'!$C$64:$D$72,2,TRUE)</f>
        <v>8</v>
      </c>
      <c r="N55" s="14" cm="1">
        <f t="array" ref="N55">VLOOKUP(N34,'S-Verweis'!$C$64:$D$72,2,TRUE)</f>
        <v>10</v>
      </c>
      <c r="O55" s="14" cm="1">
        <f t="array" ref="O55">VLOOKUP(O34,'S-Verweis'!$C$64:$D$72,2,TRUE)</f>
        <v>10</v>
      </c>
      <c r="P55" s="14" cm="1">
        <f t="array" ref="P55">VLOOKUP(P34,'S-Verweis'!$C$64:$D$72,2,TRUE)</f>
        <v>4</v>
      </c>
      <c r="Q55" s="14" cm="1">
        <f t="array" ref="Q55">VLOOKUP(Q34,'S-Verweis'!$C$64:$D$72,2,TRUE)</f>
        <v>4</v>
      </c>
      <c r="R55" s="14" cm="1">
        <f t="array" ref="R55">VLOOKUP(R34,'S-Verweis'!$C$64:$D$72,2,TRUE)</f>
        <v>8</v>
      </c>
      <c r="S55" s="14" cm="1">
        <f t="array" ref="S55">VLOOKUP(S34,'S-Verweis'!$C$64:$D$72,2,TRUE)</f>
        <v>10</v>
      </c>
      <c r="T55" s="14" cm="1">
        <f t="array" ref="T55">VLOOKUP(T34,'S-Verweis'!$C$64:$D$72,2,TRUE)</f>
        <v>10</v>
      </c>
      <c r="U55" s="14" cm="1">
        <f t="array" ref="U55">VLOOKUP(U34,'S-Verweis'!$C$64:$D$72,2,TRUE)</f>
        <v>10</v>
      </c>
      <c r="V55" s="14" cm="1">
        <f t="array" ref="V55">VLOOKUP(V34,'S-Verweis'!$C$64:$D$72,2,TRUE)</f>
        <v>10</v>
      </c>
      <c r="W55" s="14" cm="1">
        <f t="array" ref="W55">VLOOKUP(W34,'S-Verweis'!$C$64:$D$72,2,TRUE)</f>
        <v>3</v>
      </c>
      <c r="X55" s="14" cm="1">
        <f t="array" ref="X55">VLOOKUP(X34,'S-Verweis'!$C$64:$D$72,2,TRUE)</f>
        <v>4</v>
      </c>
      <c r="Y55" s="14" cm="1">
        <f t="array" ref="Y55">VLOOKUP(Y34,'S-Verweis'!$C$64:$D$72,2,TRUE)</f>
        <v>6</v>
      </c>
      <c r="Z55" s="14" cm="1">
        <f t="array" ref="Z55">VLOOKUP(Z34,'S-Verweis'!$C$64:$D$72,2,TRUE)</f>
        <v>8</v>
      </c>
      <c r="AA55" s="14" cm="1">
        <f t="array" ref="AA55">VLOOKUP(AA34,'S-Verweis'!$C$64:$D$72,2,TRUE)</f>
        <v>0</v>
      </c>
      <c r="AB55" s="14" cm="1">
        <f t="array" ref="AB55">VLOOKUP(AB34,'S-Verweis'!$C$64:$D$72,2,TRUE)</f>
        <v>0</v>
      </c>
      <c r="AC55" s="14" cm="1">
        <f t="array" ref="AC55">VLOOKUP(AC34,'S-Verweis'!$C$64:$D$72,2,TRUE)</f>
        <v>0</v>
      </c>
      <c r="AD55" s="14" cm="1">
        <f t="array" ref="AD55">VLOOKUP(AD34,'S-Verweis'!$C$64:$D$72,2,TRUE)</f>
        <v>4</v>
      </c>
      <c r="AE55" s="14" cm="1">
        <f t="array" ref="AE55">VLOOKUP(AE34,'S-Verweis'!$C$64:$D$72,2,TRUE)</f>
        <v>3</v>
      </c>
      <c r="AF55" s="14" cm="1">
        <f t="array" ref="AF55">VLOOKUP(AF34,'S-Verweis'!$C$64:$D$72,2,TRUE)</f>
        <v>6</v>
      </c>
      <c r="AG55" s="14" cm="1">
        <f t="array" ref="AG55">VLOOKUP(AG34,'S-Verweis'!$C$64:$D$72,2,TRUE)</f>
        <v>0</v>
      </c>
      <c r="AH55" s="14" cm="1">
        <f t="array" ref="AH55">VLOOKUP(AH34,'S-Verweis'!$C$64:$D$72,2,TRUE)</f>
        <v>10</v>
      </c>
      <c r="AI55" s="14" cm="1">
        <f t="array" ref="AI55">VLOOKUP(AI34,'S-Verweis'!$C$64:$D$72,2,TRUE)</f>
        <v>4</v>
      </c>
      <c r="AJ55" s="14" cm="1">
        <f t="array" ref="AJ55">VLOOKUP(AJ34,'S-Verweis'!$C$64:$D$72,2,TRUE)</f>
        <v>4</v>
      </c>
      <c r="AK55" s="14" cm="1">
        <f t="array" ref="AK55">VLOOKUP(AK34,'S-Verweis'!$C$64:$D$72,2,TRUE)</f>
        <v>6</v>
      </c>
      <c r="AL55" s="14" cm="1">
        <f t="array" ref="AL55">VLOOKUP(AL34,'S-Verweis'!$C$64:$D$72,2,TRUE)</f>
        <v>10</v>
      </c>
      <c r="AM55" s="14" cm="1">
        <f t="array" ref="AM55">VLOOKUP(AM34,'S-Verweis'!$C$64:$D$72,2,TRUE)</f>
        <v>10</v>
      </c>
      <c r="AN55" s="14" cm="1">
        <f t="array" ref="AN55">VLOOKUP(AN34,'S-Verweis'!$C$64:$D$72,2,TRUE)</f>
        <v>8</v>
      </c>
      <c r="AO55" s="14" cm="1">
        <f t="array" ref="AO55">VLOOKUP(AO34,'S-Verweis'!$C$64:$D$72,2,TRUE)</f>
        <v>10</v>
      </c>
      <c r="AP55" s="14" cm="1">
        <f t="array" ref="AP55">VLOOKUP(AP34,'S-Verweis'!$C$64:$D$72,2,TRUE)</f>
        <v>3</v>
      </c>
      <c r="AQ55" s="14" cm="1">
        <f t="array" ref="AQ55">VLOOKUP(AQ34,'S-Verweis'!$C$64:$D$72,2,TRUE)</f>
        <v>10</v>
      </c>
      <c r="AR55" s="14" cm="1">
        <f t="array" ref="AR55">VLOOKUP(AR34,'S-Verweis'!$C$64:$D$72,2,TRUE)</f>
        <v>3</v>
      </c>
      <c r="AS55" s="14" cm="1">
        <f t="array" ref="AS55">VLOOKUP(AS34,'S-Verweis'!$C$64:$D$72,2,TRUE)</f>
        <v>0</v>
      </c>
      <c r="AT55" s="14" cm="1">
        <f t="array" ref="AT55">VLOOKUP(AT34,'S-Verweis'!$C$64:$D$72,2,TRUE)</f>
        <v>4</v>
      </c>
      <c r="AU55" s="14" cm="1">
        <f t="array" ref="AU55">VLOOKUP(AU34,'S-Verweis'!$C$64:$D$72,2,TRUE)</f>
        <v>4</v>
      </c>
    </row>
    <row r="56" ht="20.05" customHeight="1">
      <c r="A56" t="s" s="31">
        <v>238</v>
      </c>
      <c r="B56" s="40" cm="1">
        <f t="array" ref="B56">VLOOKUP(B22,'S-Verweis'!$C$74:$D$85,2,TRUE)</f>
        <v>8</v>
      </c>
      <c r="C56" s="14" cm="1">
        <f t="array" ref="C56">VLOOKUP(C22,'S-Verweis'!$C$74:$D$85,2,TRUE)</f>
        <v>8</v>
      </c>
      <c r="D56" s="14" cm="1">
        <f t="array" ref="D56">VLOOKUP(D22,'S-Verweis'!$C$74:$D$85,2,TRUE)</f>
        <v>10</v>
      </c>
      <c r="E56" s="14" cm="1">
        <f t="array" ref="E56">VLOOKUP(E22,'S-Verweis'!$C$74:$D$85,2,TRUE)</f>
        <v>4</v>
      </c>
      <c r="F56" s="14" cm="1">
        <f t="array" ref="F56">VLOOKUP(F22,'S-Verweis'!$C$74:$D$85,2,TRUE)</f>
        <v>4</v>
      </c>
      <c r="G56" s="14" cm="1">
        <f t="array" ref="G56">VLOOKUP(G22,'S-Verweis'!$C$74:$D$85,2,TRUE)</f>
        <v>8</v>
      </c>
      <c r="H56" s="14" cm="1">
        <f t="array" ref="H56">VLOOKUP(H22,'S-Verweis'!$C$74:$D$85,2,TRUE)</f>
        <v>9</v>
      </c>
      <c r="I56" s="14" cm="1">
        <f t="array" ref="I56">VLOOKUP(I22,'S-Verweis'!$C$74:$D$85,2,TRUE)</f>
        <v>3</v>
      </c>
      <c r="J56" s="14" cm="1">
        <f t="array" ref="J56">VLOOKUP(J22,'S-Verweis'!$C$74:$D$85,2,TRUE)</f>
        <v>9</v>
      </c>
      <c r="K56" s="14" cm="1">
        <f t="array" ref="K56">VLOOKUP(K22,'S-Verweis'!$C$74:$D$85,2,TRUE)</f>
        <v>5</v>
      </c>
      <c r="L56" s="14" cm="1">
        <f t="array" ref="L56">VLOOKUP(L22,'S-Verweis'!$C$74:$D$85,2,TRUE)</f>
        <v>9</v>
      </c>
      <c r="M56" s="14" cm="1">
        <f t="array" ref="M56">VLOOKUP(M22,'S-Verweis'!$C$74:$D$85,2,TRUE)</f>
        <v>9</v>
      </c>
      <c r="N56" s="14" cm="1">
        <f t="array" ref="N56">VLOOKUP(N22,'S-Verweis'!$C$74:$D$85,2,TRUE)</f>
        <v>9</v>
      </c>
      <c r="O56" s="14" cm="1">
        <f t="array" ref="O56">VLOOKUP(O22,'S-Verweis'!$C$74:$D$85,2,TRUE)</f>
        <v>5</v>
      </c>
      <c r="P56" s="14" cm="1">
        <f t="array" ref="P56">VLOOKUP(P22,'S-Verweis'!$C$74:$D$85,2,TRUE)</f>
        <v>6</v>
      </c>
      <c r="Q56" s="14" cm="1">
        <f t="array" ref="Q56">VLOOKUP(Q22,'S-Verweis'!$C$74:$D$85,2,TRUE)</f>
        <v>9</v>
      </c>
      <c r="R56" s="14" cm="1">
        <f t="array" ref="R56">VLOOKUP(R22,'S-Verweis'!$C$74:$D$85,2,TRUE)</f>
        <v>8</v>
      </c>
      <c r="S56" s="14" cm="1">
        <f t="array" ref="S56">VLOOKUP(S22,'S-Verweis'!$C$74:$D$85,2,TRUE)</f>
        <v>6</v>
      </c>
      <c r="T56" s="14" cm="1">
        <f t="array" ref="T56">VLOOKUP(T22,'S-Verweis'!$C$74:$D$85,2,TRUE)</f>
        <v>10</v>
      </c>
      <c r="U56" s="14" cm="1">
        <f t="array" ref="U56">VLOOKUP(U22,'S-Verweis'!$C$74:$D$85,2,TRUE)</f>
        <v>9</v>
      </c>
      <c r="V56" s="14" cm="1">
        <f t="array" ref="V56">VLOOKUP(V22,'S-Verweis'!$C$74:$D$85,2,TRUE)</f>
        <v>8</v>
      </c>
      <c r="W56" s="14" cm="1">
        <f t="array" ref="W56">VLOOKUP(W22,'S-Verweis'!$C$74:$D$85,2,TRUE)</f>
        <v>9</v>
      </c>
      <c r="X56" s="14" cm="1">
        <f t="array" ref="X56">VLOOKUP(X22,'S-Verweis'!$C$74:$D$85,2,TRUE)</f>
        <v>8</v>
      </c>
      <c r="Y56" s="14" cm="1">
        <f t="array" ref="Y56">VLOOKUP(Y22,'S-Verweis'!$C$74:$D$85,2,TRUE)</f>
        <v>10</v>
      </c>
      <c r="Z56" s="14" cm="1">
        <f t="array" ref="Z56">VLOOKUP(Z22,'S-Verweis'!$C$74:$D$85,2,TRUE)</f>
        <v>10</v>
      </c>
      <c r="AA56" s="14" cm="1">
        <f t="array" ref="AA56">VLOOKUP(AA22,'S-Verweis'!$C$74:$D$85,2,TRUE)</f>
        <v>10</v>
      </c>
      <c r="AB56" s="14" cm="1">
        <f t="array" ref="AB56">VLOOKUP(AB22,'S-Verweis'!$C$74:$D$85,2,TRUE)</f>
        <v>10</v>
      </c>
      <c r="AC56" s="14" cm="1">
        <f t="array" ref="AC56">VLOOKUP(AC22,'S-Verweis'!$C$74:$D$85,2,TRUE)</f>
        <v>10</v>
      </c>
      <c r="AD56" s="14" cm="1">
        <f t="array" ref="AD56">VLOOKUP(AD22,'S-Verweis'!$C$74:$D$85,2,TRUE)</f>
        <v>10</v>
      </c>
      <c r="AE56" s="14" cm="1">
        <f t="array" ref="AE56">VLOOKUP(AE22,'S-Verweis'!$C$74:$D$85,2,TRUE)</f>
        <v>2</v>
      </c>
      <c r="AF56" s="14" cm="1">
        <f t="array" ref="AF56">VLOOKUP(AF22,'S-Verweis'!$C$74:$D$85,2,TRUE)</f>
        <v>9</v>
      </c>
      <c r="AG56" s="14" cm="1">
        <f t="array" ref="AG56">VLOOKUP(AG22,'S-Verweis'!$C$74:$D$85,2,TRUE)</f>
        <v>10</v>
      </c>
      <c r="AH56" s="14" cm="1">
        <f t="array" ref="AH56">VLOOKUP(AH22,'S-Verweis'!$C$74:$D$85,2,TRUE)</f>
        <v>7</v>
      </c>
      <c r="AI56" s="14" cm="1">
        <f t="array" ref="AI56">VLOOKUP(AI22,'S-Verweis'!$C$74:$D$85,2,TRUE)</f>
        <v>9</v>
      </c>
      <c r="AJ56" s="14" cm="1">
        <f t="array" ref="AJ56">VLOOKUP(AJ22,'S-Verweis'!$C$74:$D$85,2,TRUE)</f>
        <v>3</v>
      </c>
      <c r="AK56" s="14" cm="1">
        <f t="array" ref="AK56">VLOOKUP(AK22,'S-Verweis'!$C$74:$D$85,2,TRUE)</f>
        <v>9</v>
      </c>
      <c r="AL56" s="14" cm="1">
        <f t="array" ref="AL56">VLOOKUP(AL22,'S-Verweis'!$C$74:$D$85,2,TRUE)</f>
        <v>10</v>
      </c>
      <c r="AM56" s="14" cm="1">
        <f t="array" ref="AM56">VLOOKUP(AM22,'S-Verweis'!$C$74:$D$85,2,TRUE)</f>
        <v>10</v>
      </c>
      <c r="AN56" s="14" cm="1">
        <f t="array" ref="AN56">VLOOKUP(AN22,'S-Verweis'!$C$74:$D$85,2,TRUE)</f>
        <v>0</v>
      </c>
      <c r="AO56" s="14" cm="1">
        <f t="array" ref="AO56">VLOOKUP(AO22,'S-Verweis'!$C$74:$D$85,2,TRUE)</f>
        <v>10</v>
      </c>
      <c r="AP56" s="14" cm="1">
        <f t="array" ref="AP56">VLOOKUP(AP22,'S-Verweis'!$C$74:$D$85,2,TRUE)</f>
        <v>5</v>
      </c>
      <c r="AQ56" s="14" cm="1">
        <f t="array" ref="AQ56">VLOOKUP(AQ22,'S-Verweis'!$C$74:$D$85,2,TRUE)</f>
        <v>6</v>
      </c>
      <c r="AR56" s="14" cm="1">
        <f t="array" ref="AR56">VLOOKUP(AR22,'S-Verweis'!$C$74:$D$85,2,TRUE)</f>
        <v>10</v>
      </c>
      <c r="AS56" s="14" cm="1">
        <f t="array" ref="AS56">VLOOKUP(AS22,'S-Verweis'!$C$74:$D$85,2,TRUE)</f>
        <v>10</v>
      </c>
      <c r="AT56" s="14" cm="1">
        <f t="array" ref="AT56">VLOOKUP(AT22,'S-Verweis'!$C$74:$D$85,2,TRUE)</f>
        <v>9</v>
      </c>
      <c r="AU56" s="14" cm="1">
        <f t="array" ref="AU56">VLOOKUP(AU22,'S-Verweis'!$C$74:$D$85,2,TRUE)</f>
        <v>7</v>
      </c>
    </row>
    <row r="57" ht="32.05" customHeight="1">
      <c r="A57" t="s" s="31">
        <v>239</v>
      </c>
      <c r="B57" s="40" cm="1">
        <f t="array" ref="B57">VLOOKUP(B20,'S-Verweis'!$C$87:$D$96,2,TRUE)</f>
        <v>7</v>
      </c>
      <c r="C57" s="14" cm="1">
        <f t="array" ref="C57">VLOOKUP(C20,'S-Verweis'!$C$87:$D$96,2,TRUE)</f>
        <v>7</v>
      </c>
      <c r="D57" s="14" cm="1">
        <f t="array" ref="D57">VLOOKUP(D20,'S-Verweis'!$C$87:$D$96,2,TRUE)</f>
        <v>7</v>
      </c>
      <c r="E57" s="14" cm="1">
        <f t="array" ref="E57">VLOOKUP(E20,'S-Verweis'!$C$87:$D$96,2,TRUE)</f>
        <v>8</v>
      </c>
      <c r="F57" s="14" cm="1">
        <f t="array" ref="F57">VLOOKUP(F20,'S-Verweis'!$C$87:$D$96,2,TRUE)</f>
        <v>8</v>
      </c>
      <c r="G57" s="14" cm="1">
        <f t="array" ref="G57">VLOOKUP(G20,'S-Verweis'!$C$87:$D$96,2,TRUE)</f>
        <v>8</v>
      </c>
      <c r="H57" s="14" cm="1">
        <f t="array" ref="H57">VLOOKUP(H20,'S-Verweis'!$C$87:$D$96,2,TRUE)</f>
        <v>2</v>
      </c>
      <c r="I57" s="14" cm="1">
        <f t="array" ref="I57">VLOOKUP(I20,'S-Verweis'!$C$87:$D$96,2,TRUE)</f>
        <v>6</v>
      </c>
      <c r="J57" s="14" cm="1">
        <f t="array" ref="J57">VLOOKUP(J20,'S-Verweis'!$C$87:$D$96,2,TRUE)</f>
        <v>7</v>
      </c>
      <c r="K57" s="14" cm="1">
        <f t="array" ref="K57">VLOOKUP(K20,'S-Verweis'!$C$87:$D$96,2,TRUE)</f>
        <v>9</v>
      </c>
      <c r="L57" s="14" cm="1">
        <f t="array" ref="L57">VLOOKUP(L20,'S-Verweis'!$C$87:$D$96,2,TRUE)</f>
        <v>7</v>
      </c>
      <c r="M57" s="14" cm="1">
        <f t="array" ref="M57">VLOOKUP(M20,'S-Verweis'!$C$87:$D$96,2,TRUE)</f>
        <v>8</v>
      </c>
      <c r="N57" s="14" cm="1">
        <f t="array" ref="N57">VLOOKUP(N20,'S-Verweis'!$C$87:$D$96,2,TRUE)</f>
        <v>10</v>
      </c>
      <c r="O57" s="14" cm="1">
        <f t="array" ref="O57">VLOOKUP(O20,'S-Verweis'!$C$87:$D$96,2,TRUE)</f>
        <v>10</v>
      </c>
      <c r="P57" s="14" cm="1">
        <f t="array" ref="P57">VLOOKUP(P20,'S-Verweis'!$C$87:$D$96,2,TRUE)</f>
        <v>9</v>
      </c>
      <c r="Q57" s="14" cm="1">
        <f t="array" ref="Q57">VLOOKUP(Q20,'S-Verweis'!$C$87:$D$96,2,TRUE)</f>
        <v>7</v>
      </c>
      <c r="R57" s="14" cm="1">
        <f t="array" ref="R57">VLOOKUP(R20,'S-Verweis'!$C$87:$D$96,2,TRUE)</f>
        <v>8</v>
      </c>
      <c r="S57" s="14" cm="1">
        <f t="array" ref="S57">VLOOKUP(S20,'S-Verweis'!$C$87:$D$96,2,TRUE)</f>
        <v>10</v>
      </c>
      <c r="T57" s="14" cm="1">
        <f t="array" ref="T57">VLOOKUP(T20,'S-Verweis'!$C$87:$D$96,2,TRUE)</f>
        <v>10</v>
      </c>
      <c r="U57" s="14" cm="1">
        <f t="array" ref="U57">VLOOKUP(U20,'S-Verweis'!$C$87:$D$96,2,TRUE)</f>
        <v>7</v>
      </c>
      <c r="V57" s="14" cm="1">
        <f t="array" ref="V57">VLOOKUP(V20,'S-Verweis'!$C$87:$D$96,2,TRUE)</f>
        <v>10</v>
      </c>
      <c r="W57" s="14" cm="1">
        <f t="array" ref="W57">VLOOKUP(W20,'S-Verweis'!$C$87:$D$96,2,TRUE)</f>
        <v>6</v>
      </c>
      <c r="X57" s="14" cm="1">
        <f t="array" ref="X57">VLOOKUP(X20,'S-Verweis'!$C$87:$D$96,2,TRUE)</f>
        <v>8</v>
      </c>
      <c r="Y57" s="14" cm="1">
        <f t="array" ref="Y57">VLOOKUP(Y20,'S-Verweis'!$C$87:$D$96,2,TRUE)</f>
        <v>8</v>
      </c>
      <c r="Z57" s="14" cm="1">
        <f t="array" ref="Z57">VLOOKUP(Z20,'S-Verweis'!$C$87:$D$96,2,TRUE)</f>
        <v>10</v>
      </c>
      <c r="AA57" s="14" cm="1">
        <f t="array" ref="AA57">VLOOKUP(AA20,'S-Verweis'!$C$87:$D$96,2,TRUE)</f>
        <v>9</v>
      </c>
      <c r="AB57" s="14" cm="1">
        <f t="array" ref="AB57">VLOOKUP(AB20,'S-Verweis'!$C$87:$D$96,2,TRUE)</f>
        <v>10</v>
      </c>
      <c r="AC57" s="14" cm="1">
        <f t="array" ref="AC57">VLOOKUP(AC20,'S-Verweis'!$C$87:$D$96,2,TRUE)</f>
        <v>9</v>
      </c>
      <c r="AD57" s="14" cm="1">
        <f t="array" ref="AD57">VLOOKUP(AD20,'S-Verweis'!$C$87:$D$96,2,TRUE)</f>
        <v>7</v>
      </c>
      <c r="AE57" s="14" cm="1">
        <f t="array" ref="AE57">VLOOKUP(AE20,'S-Verweis'!$C$87:$D$96,2,TRUE)</f>
        <v>7</v>
      </c>
      <c r="AF57" s="14" cm="1">
        <f t="array" ref="AF57">VLOOKUP(AF20,'S-Verweis'!$C$87:$D$96,2,TRUE)</f>
        <v>8</v>
      </c>
      <c r="AG57" s="14" cm="1">
        <f t="array" ref="AG57">VLOOKUP(AG20,'S-Verweis'!$C$87:$D$96,2,TRUE)</f>
        <v>10</v>
      </c>
      <c r="AH57" s="14" cm="1">
        <f t="array" ref="AH57">VLOOKUP(AH20,'S-Verweis'!$C$87:$D$96,2,TRUE)</f>
        <v>7</v>
      </c>
      <c r="AI57" s="14" cm="1">
        <f t="array" ref="AI57">VLOOKUP(AI20,'S-Verweis'!$C$87:$D$96,2,TRUE)</f>
        <v>8</v>
      </c>
      <c r="AJ57" s="14" cm="1">
        <f t="array" ref="AJ57">VLOOKUP(AJ20,'S-Verweis'!$C$87:$D$96,2,TRUE)</f>
        <v>8</v>
      </c>
      <c r="AK57" s="14" cm="1">
        <f t="array" ref="AK57">VLOOKUP(AK20,'S-Verweis'!$C$87:$D$96,2,TRUE)</f>
        <v>7</v>
      </c>
      <c r="AL57" s="14" cm="1">
        <f t="array" ref="AL57">VLOOKUP(AL20,'S-Verweis'!$C$87:$D$96,2,TRUE)</f>
        <v>7</v>
      </c>
      <c r="AM57" s="14" cm="1">
        <f t="array" ref="AM57">VLOOKUP(AM20,'S-Verweis'!$C$87:$D$96,2,TRUE)</f>
        <v>9</v>
      </c>
      <c r="AN57" s="14" cm="1">
        <f t="array" ref="AN57">VLOOKUP(AN20,'S-Verweis'!$C$87:$D$96,2,TRUE)</f>
        <v>7</v>
      </c>
      <c r="AO57" s="14" cm="1">
        <f t="array" ref="AO57">VLOOKUP(AO20,'S-Verweis'!$C$87:$D$96,2,TRUE)</f>
        <v>4</v>
      </c>
      <c r="AP57" s="14" cm="1">
        <f t="array" ref="AP57">VLOOKUP(AP20,'S-Verweis'!$C$87:$D$96,2,TRUE)</f>
        <v>8</v>
      </c>
      <c r="AQ57" s="14" cm="1">
        <f t="array" ref="AQ57">VLOOKUP(AQ20,'S-Verweis'!$C$87:$D$96,2,TRUE)</f>
        <v>10</v>
      </c>
      <c r="AR57" s="14" cm="1">
        <f t="array" ref="AR57">VLOOKUP(AR20,'S-Verweis'!$C$87:$D$96,2,TRUE)</f>
        <v>10</v>
      </c>
      <c r="AS57" s="14" cm="1">
        <f t="array" ref="AS57">VLOOKUP(AS20,'S-Verweis'!$C$87:$D$96,2,TRUE)</f>
        <v>7</v>
      </c>
      <c r="AT57" s="14" cm="1">
        <f t="array" ref="AT57">VLOOKUP(AT20,'S-Verweis'!$C$87:$D$96,2,TRUE)</f>
        <v>6</v>
      </c>
      <c r="AU57" s="14" cm="1">
        <f t="array" ref="AU57">VLOOKUP(AU20,'S-Verweis'!$C$87:$D$96,2,TRUE)</f>
        <v>6</v>
      </c>
    </row>
    <row r="58" ht="20.05" customHeight="1">
      <c r="A58" t="s" s="41">
        <v>240</v>
      </c>
      <c r="B58" s="42" cm="1">
        <f t="array" ref="B58">B50*25+B51*20+B52*15+B53*10+B54*10+B55*10+B56*5+B57*5</f>
        <v>740</v>
      </c>
      <c r="C58" s="43" cm="1">
        <f t="array" ref="C58">C50*25+C51*20+C52*15+C53*10+C54*10+C55*10+C56*5+C57*5</f>
        <v>735</v>
      </c>
      <c r="D58" s="43" cm="1">
        <f t="array" ref="D58">D50*25+D51*20+D52*15+D53*10+D54*10+D55*10+D56*5+D57*5</f>
        <v>900</v>
      </c>
      <c r="E58" s="43" cm="1">
        <f t="array" ref="E58">E50*25+E51*20+E52*15+E53*10+E54*10+E55*10+E56*5+E57*5</f>
        <v>310</v>
      </c>
      <c r="F58" s="43" cm="1">
        <f t="array" ref="F58">F50*25+F51*20+F52*15+F53*10+F54*10+F55*10+F56*5+F57*5</f>
        <v>395</v>
      </c>
      <c r="G58" s="43" cm="1">
        <f t="array" ref="G58">G50*25+G51*20+G52*15+G53*10+G54*10+G55*10+G56*5+G57*5</f>
        <v>820</v>
      </c>
      <c r="H58" s="43" cm="1">
        <f t="array" ref="H58">H50*25+H51*20+H52*15+H53*10+H54*10+H55*10+H56*5+H57*5</f>
        <v>335</v>
      </c>
      <c r="I58" s="43" cm="1">
        <f t="array" ref="I58">I50*25+I51*20+I52*15+I53*10+I54*10+I55*10+I56*5+I57*5</f>
        <v>775</v>
      </c>
      <c r="J58" s="43" cm="1">
        <f t="array" ref="J58">J50*25+J51*20+J52*15+J53*10+J54*10+J55*10+J56*5+J57*5</f>
        <v>955</v>
      </c>
      <c r="K58" s="43" cm="1">
        <f t="array" ref="K58">K50*25+K51*20+K52*15+K53*10+K54*10+K55*10+K56*5+K57*5</f>
        <v>780</v>
      </c>
      <c r="L58" s="43" cm="1">
        <f t="array" ref="L58">L50*25+L51*20+L52*15+L53*10+L54*10+L55*10+L56*5+L57*5</f>
        <v>940</v>
      </c>
      <c r="M58" s="43" cm="1">
        <f t="array" ref="M58">M50*25+M51*20+M52*15+M53*10+M54*10+M55*10+M56*5+M57*5</f>
        <v>610</v>
      </c>
      <c r="N58" s="43" cm="1">
        <f t="array" ref="N58">N50*25+N51*20+N52*15+N53*10+N54*10+N55*10+N56*5+N57*5</f>
        <v>725</v>
      </c>
      <c r="O58" s="43" cm="1">
        <f t="array" ref="O58">O50*25+O51*20+O52*15+O53*10+O54*10+O55*10+O56*5+O57*5</f>
        <v>525</v>
      </c>
      <c r="P58" s="43" cm="1">
        <f t="array" ref="P58">P50*25+P51*20+P52*15+P53*10+P54*10+P55*10+P56*5+P57*5</f>
        <v>600</v>
      </c>
      <c r="Q58" s="43" cm="1">
        <f t="array" ref="Q58">Q50*25+Q51*20+Q52*15+Q53*10+Q54*10+Q55*10+Q56*5+Q57*5</f>
        <v>530</v>
      </c>
      <c r="R58" s="43" cm="1">
        <f t="array" ref="R58">R50*25+R51*20+R52*15+R53*10+R54*10+R55*10+R56*5+R57*5</f>
        <v>775</v>
      </c>
      <c r="S58" s="43" cm="1">
        <f t="array" ref="S58">S50*25+S51*20+S52*15+S53*10+S54*10+S55*10+S56*5+S57*5</f>
        <v>705</v>
      </c>
      <c r="T58" s="43" cm="1">
        <f t="array" ref="T58">T50*25+T51*20+T52*15+T53*10+T54*10+T55*10+T56*5+T57*5</f>
        <v>670</v>
      </c>
      <c r="U58" s="43" cm="1">
        <f t="array" ref="U58">U50*25+U51*20+U52*15+U53*10+U54*10+U55*10+U56*5+U57*5</f>
        <v>930</v>
      </c>
      <c r="V58" s="43" cm="1">
        <f t="array" ref="V58">V50*25+V51*20+V52*15+V53*10+V54*10+V55*10+V56*5+V57*5</f>
        <v>835</v>
      </c>
      <c r="W58" s="43" cm="1">
        <f t="array" ref="W58">W50*25+W51*20+W52*15+W53*10+W54*10+W55*10+W56*5+W57*5</f>
        <v>735</v>
      </c>
      <c r="X58" s="43" cm="1">
        <f t="array" ref="X58">X50*25+X51*20+X52*15+X53*10+X54*10+X55*10+X56*5+X57*5</f>
        <v>445</v>
      </c>
      <c r="Y58" s="43" cm="1">
        <f t="array" ref="Y58">Y50*25+Y51*20+Y52*15+Y53*10+Y54*10+Y55*10+Y56*5+Y57*5</f>
        <v>680</v>
      </c>
      <c r="Z58" s="43" cm="1">
        <f t="array" ref="Z58">Z50*25+Z51*20+Z52*15+Z53*10+Z54*10+Z55*10+Z56*5+Z57*5</f>
        <v>820</v>
      </c>
      <c r="AA58" s="43" cm="1">
        <f t="array" ref="AA58">AA50*25+AA51*20+AA52*15+AA53*10+AA54*10+AA55*10+AA56*5+AA57*5</f>
        <v>345</v>
      </c>
      <c r="AB58" s="43" cm="1">
        <f t="array" ref="AB58">AB50*25+AB51*20+AB52*15+AB53*10+AB54*10+AB55*10+AB56*5+AB57*5</f>
        <v>350</v>
      </c>
      <c r="AC58" s="43" cm="1">
        <f t="array" ref="AC58">AC50*25+AC51*20+AC52*15+AC53*10+AC54*10+AC55*10+AC56*5+AC57*5</f>
        <v>345</v>
      </c>
      <c r="AD58" s="43" cm="1">
        <f t="array" ref="AD58">AD50*25+AD51*20+AD52*15+AD53*10+AD54*10+AD55*10+AD56*5+AD57*5</f>
        <v>565</v>
      </c>
      <c r="AE58" s="43" cm="1">
        <f t="array" ref="AE58">AE50*25+AE51*20+AE52*15+AE53*10+AE54*10+AE55*10+AE56*5+AE57*5</f>
        <v>740</v>
      </c>
      <c r="AF58" s="43" cm="1">
        <f t="array" ref="AF58">AF50*25+AF51*20+AF52*15+AF53*10+AF54*10+AF55*10+AF56*5+AF57*5</f>
        <v>760</v>
      </c>
      <c r="AG58" s="43" cm="1">
        <f t="array" ref="AG58">AG50*25+AG51*20+AG52*15+AG53*10+AG54*10+AG55*10+AG56*5+AG57*5</f>
        <v>275</v>
      </c>
      <c r="AH58" s="43" cm="1">
        <f t="array" ref="AH58">AH50*25+AH51*20+AH52*15+AH53*10+AH54*10+AH55*10+AH56*5+AH57*5</f>
        <v>625</v>
      </c>
      <c r="AI58" s="43" cm="1">
        <f t="array" ref="AI58">AI50*25+AI51*20+AI52*15+AI53*10+AI54*10+AI55*10+AI56*5+AI57*5</f>
        <v>760</v>
      </c>
      <c r="AJ58" s="43" cm="1">
        <f t="array" ref="AJ58">AJ50*25+AJ51*20+AJ52*15+AJ53*10+AJ54*10+AJ55*10+AJ56*5+AJ57*5</f>
        <v>430</v>
      </c>
      <c r="AK58" s="43" cm="1">
        <f t="array" ref="AK58">AK50*25+AK51*20+AK52*15+AK53*10+AK54*10+AK55*10+AK56*5+AK57*5</f>
        <v>460</v>
      </c>
      <c r="AL58" s="43" cm="1">
        <f t="array" ref="AL58">AL50*25+AL51*20+AL52*15+AL53*10+AL54*10+AL55*10+AL56*5+AL57*5</f>
        <v>700</v>
      </c>
      <c r="AM58" s="43" cm="1">
        <f t="array" ref="AM58">AM50*25+AM51*20+AM52*15+AM53*10+AM54*10+AM55*10+AM56*5+AM57*5</f>
        <v>915</v>
      </c>
      <c r="AN58" s="43" cm="1">
        <f t="array" ref="AN58">AN50*25+AN51*20+AN52*15+AN53*10+AN54*10+AN55*10+AN56*5+AN57*5</f>
        <v>625</v>
      </c>
      <c r="AO58" s="43" cm="1">
        <f t="array" ref="AO58">AO50*25+AO51*20+AO52*15+AO53*10+AO54*10+AO55*10+AO56*5+AO57*5</f>
        <v>740</v>
      </c>
      <c r="AP58" s="43" cm="1">
        <f t="array" ref="AP58">AP50*25+AP51*20+AP52*15+AP53*10+AP54*10+AP55*10+AP56*5+AP57*5</f>
        <v>295</v>
      </c>
      <c r="AQ58" s="43" cm="1">
        <f t="array" ref="AQ58">AQ50*25+AQ51*20+AQ52*15+AQ53*10+AQ54*10+AQ55*10+AQ56*5+AQ57*5</f>
        <v>765</v>
      </c>
      <c r="AR58" s="43" cm="1">
        <f t="array" ref="AR58">AR50*25+AR51*20+AR52*15+AR53*10+AR54*10+AR55*10+AR56*5+AR57*5</f>
        <v>890</v>
      </c>
      <c r="AS58" s="43" cm="1">
        <f t="array" ref="AS58">AS50*25+AS51*20+AS52*15+AS53*10+AS54*10+AS55*10+AS56*5+AS57*5</f>
        <v>260</v>
      </c>
      <c r="AT58" s="43" cm="1">
        <f t="array" ref="AT58">AT50*25+AT51*20+AT52*15+AT53*10+AT54*10+AT55*10+AT56*5+AT57*5</f>
        <v>535</v>
      </c>
      <c r="AU58" s="44" cm="1">
        <f t="array" ref="AU58">AU50*25+AU51*20+AU52*15+AU53*10+AU54*10+AU55*10+AU56*5+AU57*5</f>
        <v>595</v>
      </c>
    </row>
  </sheetData>
  <mergeCells count="1">
    <mergeCell ref="A1:AU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U58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7.3281" style="45" customWidth="1"/>
    <col min="2" max="14" width="18.4219" style="45" customWidth="1"/>
    <col min="15" max="15" width="19.6016" style="45" customWidth="1"/>
    <col min="16" max="27" width="18.4219" style="45" customWidth="1"/>
    <col min="28" max="28" width="20.1094" style="45" customWidth="1"/>
    <col min="29" max="47" width="18.4219" style="45" customWidth="1"/>
    <col min="48" max="16384" width="16.3516" style="45" customWidth="1"/>
  </cols>
  <sheetData>
    <row r="1" ht="27.65" customHeight="1">
      <c r="A1" t="s" s="2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ht="32.25" customHeight="1">
      <c r="A2" s="3"/>
      <c r="B2" t="s" s="4">
        <v>7</v>
      </c>
      <c r="C2" t="s" s="4">
        <v>9</v>
      </c>
      <c r="D2" t="s" s="4">
        <v>16</v>
      </c>
      <c r="E2" t="s" s="4">
        <v>33</v>
      </c>
      <c r="F2" t="s" s="4">
        <v>2</v>
      </c>
      <c r="G2" t="s" s="4">
        <v>19</v>
      </c>
      <c r="H2" t="s" s="4">
        <v>17</v>
      </c>
      <c r="I2" t="s" s="4">
        <v>5</v>
      </c>
      <c r="J2" t="s" s="4">
        <v>20</v>
      </c>
      <c r="K2" t="s" s="4">
        <v>8</v>
      </c>
      <c r="L2" t="s" s="4">
        <v>2</v>
      </c>
      <c r="M2" t="s" s="4">
        <v>13</v>
      </c>
      <c r="N2" t="s" s="4">
        <v>27</v>
      </c>
      <c r="O2" t="s" s="4">
        <v>26</v>
      </c>
      <c r="P2" t="s" s="4">
        <v>29</v>
      </c>
      <c r="Q2" t="s" s="4">
        <v>1</v>
      </c>
      <c r="R2" t="s" s="4">
        <v>25</v>
      </c>
      <c r="S2" t="s" s="4">
        <v>2</v>
      </c>
      <c r="T2" t="s" s="4">
        <v>18</v>
      </c>
      <c r="U2" t="s" s="4">
        <v>2</v>
      </c>
      <c r="V2" t="s" s="4">
        <v>10</v>
      </c>
      <c r="W2" t="s" s="4">
        <v>14</v>
      </c>
      <c r="X2" t="s" s="4">
        <v>32</v>
      </c>
      <c r="Y2" t="s" s="4">
        <v>2</v>
      </c>
      <c r="Z2" t="s" s="4">
        <v>15</v>
      </c>
      <c r="AA2" t="s" s="4">
        <v>34</v>
      </c>
      <c r="AB2" t="s" s="4">
        <v>28</v>
      </c>
      <c r="AC2" t="s" s="4">
        <v>2</v>
      </c>
      <c r="AD2" t="s" s="4">
        <v>12</v>
      </c>
      <c r="AE2" t="s" s="5">
        <v>37</v>
      </c>
      <c r="AF2" t="s" s="4">
        <v>24</v>
      </c>
      <c r="AG2" t="s" s="4">
        <v>36</v>
      </c>
      <c r="AH2" t="s" s="4">
        <v>2</v>
      </c>
      <c r="AI2" t="s" s="4">
        <v>11</v>
      </c>
      <c r="AJ2" t="s" s="4">
        <v>31</v>
      </c>
      <c r="AK2" t="s" s="4">
        <v>19</v>
      </c>
      <c r="AL2" t="s" s="4">
        <v>30</v>
      </c>
      <c r="AM2" t="s" s="4">
        <v>4</v>
      </c>
      <c r="AN2" t="s" s="4">
        <v>22</v>
      </c>
      <c r="AO2" t="s" s="4">
        <v>21</v>
      </c>
      <c r="AP2" t="s" s="4">
        <v>23</v>
      </c>
      <c r="AQ2" t="s" s="4">
        <v>6</v>
      </c>
      <c r="AR2" t="s" s="4">
        <v>3</v>
      </c>
      <c r="AS2" t="s" s="4">
        <v>2</v>
      </c>
      <c r="AT2" t="s" s="4">
        <v>27</v>
      </c>
      <c r="AU2" t="s" s="4">
        <v>35</v>
      </c>
    </row>
    <row r="3" ht="20.25" customHeight="1">
      <c r="A3" t="s" s="6">
        <v>38</v>
      </c>
      <c r="B3" t="s" s="7">
        <v>45</v>
      </c>
      <c r="C3" t="s" s="8">
        <v>47</v>
      </c>
      <c r="D3" t="s" s="8">
        <v>53</v>
      </c>
      <c r="E3" t="s" s="8">
        <v>60</v>
      </c>
      <c r="F3" t="s" s="8">
        <v>41</v>
      </c>
      <c r="G3" t="s" s="8">
        <v>63</v>
      </c>
      <c r="H3" t="s" s="8">
        <v>54</v>
      </c>
      <c r="I3" t="s" s="8">
        <v>42</v>
      </c>
      <c r="J3" t="s" s="8">
        <v>55</v>
      </c>
      <c r="K3" t="s" s="8">
        <v>46</v>
      </c>
      <c r="L3" t="s" s="8">
        <v>44</v>
      </c>
      <c r="M3" t="s" s="8">
        <v>52</v>
      </c>
      <c r="N3" t="s" s="8">
        <v>62</v>
      </c>
      <c r="O3" t="s" s="8">
        <v>57</v>
      </c>
      <c r="P3" t="s" s="8">
        <v>58</v>
      </c>
      <c r="Q3" t="s" s="8">
        <v>39</v>
      </c>
      <c r="R3" t="s" s="8">
        <v>57</v>
      </c>
      <c r="S3" t="s" s="8">
        <v>61</v>
      </c>
      <c r="T3" t="s" s="8">
        <v>54</v>
      </c>
      <c r="U3" t="s" s="8">
        <v>40</v>
      </c>
      <c r="V3" t="s" s="8">
        <v>49</v>
      </c>
      <c r="W3" t="s" s="8">
        <v>52</v>
      </c>
      <c r="X3" t="s" s="8">
        <v>59</v>
      </c>
      <c r="Y3" t="s" s="8">
        <v>55</v>
      </c>
      <c r="Z3" t="s" s="8">
        <v>52</v>
      </c>
      <c r="AA3" t="s" s="8">
        <v>61</v>
      </c>
      <c r="AB3" t="s" s="8">
        <v>58</v>
      </c>
      <c r="AC3" t="s" s="8">
        <v>48</v>
      </c>
      <c r="AD3" t="s" s="8">
        <v>50</v>
      </c>
      <c r="AE3" t="s" s="8">
        <v>65</v>
      </c>
      <c r="AF3" t="s" s="8">
        <v>57</v>
      </c>
      <c r="AG3" t="s" s="8">
        <v>65</v>
      </c>
      <c r="AH3" t="s" s="8">
        <v>51</v>
      </c>
      <c r="AI3" t="s" s="8">
        <v>49</v>
      </c>
      <c r="AJ3" t="s" s="8">
        <v>58</v>
      </c>
      <c r="AK3" t="s" s="8">
        <v>54</v>
      </c>
      <c r="AL3" t="s" s="8">
        <v>58</v>
      </c>
      <c r="AM3" t="s" s="8">
        <v>42</v>
      </c>
      <c r="AN3" t="s" s="8">
        <v>56</v>
      </c>
      <c r="AO3" t="s" s="8">
        <v>56</v>
      </c>
      <c r="AP3" t="s" s="8">
        <v>56</v>
      </c>
      <c r="AQ3" t="s" s="8">
        <v>43</v>
      </c>
      <c r="AR3" t="s" s="8">
        <v>42</v>
      </c>
      <c r="AS3" t="s" s="8">
        <v>62</v>
      </c>
      <c r="AT3" t="s" s="8">
        <v>58</v>
      </c>
      <c r="AU3" t="s" s="8">
        <v>64</v>
      </c>
    </row>
    <row r="4" ht="20.05" customHeight="1">
      <c r="A4" t="s" s="9">
        <v>66</v>
      </c>
      <c r="B4" s="10">
        <v>31.9</v>
      </c>
      <c r="C4" s="11">
        <v>34.9</v>
      </c>
      <c r="D4" s="11">
        <v>40</v>
      </c>
      <c r="E4" s="11">
        <v>45.8</v>
      </c>
      <c r="F4" s="11">
        <v>27.9</v>
      </c>
      <c r="G4" s="11">
        <v>31.99</v>
      </c>
      <c r="H4" s="11">
        <v>24.9</v>
      </c>
      <c r="I4" s="11">
        <v>24.9</v>
      </c>
      <c r="J4" s="11">
        <v>19.99</v>
      </c>
      <c r="K4" s="11">
        <v>27.9</v>
      </c>
      <c r="L4" s="11">
        <v>36.99</v>
      </c>
      <c r="M4" s="11">
        <v>32.9</v>
      </c>
      <c r="N4" s="11">
        <v>36.99</v>
      </c>
      <c r="O4" s="11">
        <v>19.99</v>
      </c>
      <c r="P4" s="11">
        <v>39.99</v>
      </c>
      <c r="Q4" s="11">
        <v>26.95</v>
      </c>
      <c r="R4" s="11">
        <v>24.99</v>
      </c>
      <c r="S4" s="11">
        <v>29.9</v>
      </c>
      <c r="T4" s="11">
        <v>17.9</v>
      </c>
      <c r="U4" s="11">
        <v>18.99</v>
      </c>
      <c r="V4" s="11">
        <v>39.99</v>
      </c>
      <c r="W4" s="11">
        <v>32.9</v>
      </c>
      <c r="X4" s="11">
        <v>29.99</v>
      </c>
      <c r="Y4" s="11">
        <v>24.9</v>
      </c>
      <c r="Z4" s="11">
        <v>24.99</v>
      </c>
      <c r="AA4" s="11">
        <v>31.99</v>
      </c>
      <c r="AB4" s="11">
        <v>37.99</v>
      </c>
      <c r="AC4" s="11">
        <v>19.95</v>
      </c>
      <c r="AD4" s="11">
        <v>23.99</v>
      </c>
      <c r="AE4" s="11">
        <v>24.9</v>
      </c>
      <c r="AF4" s="11">
        <v>21.99</v>
      </c>
      <c r="AG4" s="11">
        <v>23.9</v>
      </c>
      <c r="AH4" s="11">
        <v>22.99</v>
      </c>
      <c r="AI4" s="11">
        <v>40.99</v>
      </c>
      <c r="AJ4" s="11">
        <v>29.99</v>
      </c>
      <c r="AK4" s="11">
        <v>16.9</v>
      </c>
      <c r="AL4" s="11">
        <v>29.99</v>
      </c>
      <c r="AM4" s="11">
        <v>19.9</v>
      </c>
      <c r="AN4" s="11">
        <v>15.49</v>
      </c>
      <c r="AO4" s="11">
        <v>18.39</v>
      </c>
      <c r="AP4" s="11">
        <v>15.79</v>
      </c>
      <c r="AQ4" s="11">
        <v>29.9</v>
      </c>
      <c r="AR4" s="11">
        <v>29.9</v>
      </c>
      <c r="AS4" s="11">
        <v>32.99</v>
      </c>
      <c r="AT4" s="11">
        <v>29.99</v>
      </c>
      <c r="AU4" s="11">
        <v>19.99</v>
      </c>
    </row>
    <row r="5" ht="20.05" customHeight="1">
      <c r="A5" t="s" s="9">
        <v>67</v>
      </c>
      <c r="B5" s="12">
        <v>800</v>
      </c>
      <c r="C5" s="13">
        <v>1000</v>
      </c>
      <c r="D5" s="13">
        <v>1000</v>
      </c>
      <c r="E5" s="13">
        <v>1000</v>
      </c>
      <c r="F5" s="13">
        <v>1000</v>
      </c>
      <c r="G5" s="13">
        <v>908</v>
      </c>
      <c r="H5" s="13">
        <v>400</v>
      </c>
      <c r="I5" s="13">
        <v>1000</v>
      </c>
      <c r="J5" s="13">
        <v>1000</v>
      </c>
      <c r="K5" s="13">
        <v>700</v>
      </c>
      <c r="L5" s="13">
        <v>1000</v>
      </c>
      <c r="M5" s="13">
        <v>1000</v>
      </c>
      <c r="N5" s="13">
        <v>480</v>
      </c>
      <c r="O5" s="13">
        <v>750</v>
      </c>
      <c r="P5" s="13">
        <v>750</v>
      </c>
      <c r="Q5" s="13">
        <v>900</v>
      </c>
      <c r="R5" s="13">
        <v>700</v>
      </c>
      <c r="S5" s="13">
        <v>910</v>
      </c>
      <c r="T5" s="13">
        <v>750</v>
      </c>
      <c r="U5" s="13">
        <v>300</v>
      </c>
      <c r="V5" s="13">
        <v>560</v>
      </c>
      <c r="W5" s="13">
        <v>1000</v>
      </c>
      <c r="X5" s="13">
        <v>500</v>
      </c>
      <c r="Y5" s="13">
        <v>500</v>
      </c>
      <c r="Z5" s="13">
        <v>400</v>
      </c>
      <c r="AA5" s="13">
        <v>900</v>
      </c>
      <c r="AB5" s="13">
        <v>900</v>
      </c>
      <c r="AC5" s="13">
        <v>500</v>
      </c>
      <c r="AD5" s="13">
        <v>660</v>
      </c>
      <c r="AE5" s="13">
        <v>1000</v>
      </c>
      <c r="AF5" s="13">
        <v>700</v>
      </c>
      <c r="AG5" s="13">
        <v>750</v>
      </c>
      <c r="AH5" s="13">
        <v>600</v>
      </c>
      <c r="AI5" s="13">
        <v>480</v>
      </c>
      <c r="AJ5" s="13">
        <v>1000</v>
      </c>
      <c r="AK5" s="13">
        <v>450</v>
      </c>
      <c r="AL5" s="13">
        <v>600</v>
      </c>
      <c r="AM5" s="13">
        <v>1000</v>
      </c>
      <c r="AN5" s="13">
        <v>1000</v>
      </c>
      <c r="AO5" s="13">
        <v>1000</v>
      </c>
      <c r="AP5" s="13">
        <v>1000</v>
      </c>
      <c r="AQ5" s="13">
        <v>750</v>
      </c>
      <c r="AR5" s="13">
        <v>1000</v>
      </c>
      <c r="AS5" s="13">
        <v>540</v>
      </c>
      <c r="AT5" s="13">
        <v>360</v>
      </c>
      <c r="AU5" s="13">
        <v>450</v>
      </c>
    </row>
    <row r="6" ht="20.05" customHeight="1">
      <c r="A6" t="s" s="9">
        <v>68</v>
      </c>
      <c r="B6" s="10" cm="1">
        <f t="array" ref="B6">B4/B5*1000</f>
        <v>39.875</v>
      </c>
      <c r="C6" s="11" cm="1">
        <f t="array" ref="C6">C4/C5*1000</f>
        <v>34.9</v>
      </c>
      <c r="D6" s="11" cm="1">
        <f t="array" ref="D6">D4/D5*1000</f>
        <v>40</v>
      </c>
      <c r="E6" s="11" cm="1">
        <f t="array" ref="E6">E4/E5*1000</f>
        <v>45.8</v>
      </c>
      <c r="F6" s="14">
        <v>27.9</v>
      </c>
      <c r="G6" s="11" cm="1">
        <f t="array" ref="G6">G4/G5*1000</f>
        <v>35.2312775330396</v>
      </c>
      <c r="H6" s="11" cm="1">
        <f t="array" ref="H6">H4/H5*1000</f>
        <v>62.25</v>
      </c>
      <c r="I6" s="11" cm="1">
        <f t="array" ref="I6">I4/I5*1000</f>
        <v>24.9</v>
      </c>
      <c r="J6" s="11" cm="1">
        <f t="array" ref="J6">J4/J5*1000</f>
        <v>19.99</v>
      </c>
      <c r="K6" s="11" cm="1">
        <f t="array" ref="K6">K4/K5*1000</f>
        <v>39.8571428571429</v>
      </c>
      <c r="L6" s="11" cm="1">
        <f t="array" ref="L6">L4/L5*1000</f>
        <v>36.99</v>
      </c>
      <c r="M6" s="11" cm="1">
        <f t="array" ref="M6">M4/M5*1000</f>
        <v>32.9</v>
      </c>
      <c r="N6" s="11" cm="1">
        <f t="array" ref="N6">N4/N5*1000</f>
        <v>77.0625</v>
      </c>
      <c r="O6" s="11" cm="1">
        <f t="array" ref="O6">O4/O5*1000</f>
        <v>26.6533333333333</v>
      </c>
      <c r="P6" s="11" cm="1">
        <f t="array" ref="P6">P4/P5*1000</f>
        <v>53.32</v>
      </c>
      <c r="Q6" s="11" cm="1">
        <f t="array" ref="Q6">Q4/Q5*1000</f>
        <v>29.9444444444444</v>
      </c>
      <c r="R6" s="11" cm="1">
        <f t="array" ref="R6">R4/R5*1000</f>
        <v>35.7</v>
      </c>
      <c r="S6" s="11" cm="1">
        <f t="array" ref="S6">S4/S5*1000</f>
        <v>32.8571428571429</v>
      </c>
      <c r="T6" s="11" cm="1">
        <f t="array" ref="T6">T4/T5*1000</f>
        <v>23.8666666666667</v>
      </c>
      <c r="U6" s="14">
        <v>50.63</v>
      </c>
      <c r="V6" s="11" cm="1">
        <f t="array" ref="V6">V4/V5*1000</f>
        <v>71.41071428571431</v>
      </c>
      <c r="W6" s="11" cm="1">
        <f t="array" ref="W6">W4/W5*1000</f>
        <v>32.9</v>
      </c>
      <c r="X6" s="11" cm="1">
        <f t="array" ref="X6">X4/X5*1000</f>
        <v>59.98</v>
      </c>
      <c r="Y6" s="11" cm="1">
        <f t="array" ref="Y6">Y4/Y5*1000</f>
        <v>49.8</v>
      </c>
      <c r="Z6" s="11" cm="1">
        <f t="array" ref="Z6">Z4/Z5*1000</f>
        <v>62.475</v>
      </c>
      <c r="AA6" s="11" cm="1">
        <f t="array" ref="AA6">AA4/AA5*1000</f>
        <v>35.5444444444444</v>
      </c>
      <c r="AB6" s="11" cm="1">
        <f t="array" ref="AB6">AB4/AB5*1000</f>
        <v>42.2111111111111</v>
      </c>
      <c r="AC6" s="11" cm="1">
        <f t="array" ref="AC6">AC4/AC5*1000</f>
        <v>39.9</v>
      </c>
      <c r="AD6" s="11" cm="1">
        <f t="array" ref="AD6">AD4/AD5*1000</f>
        <v>36.3484848484848</v>
      </c>
      <c r="AE6" s="11" cm="1">
        <f t="array" ref="AE6">AE4/AE5*1000</f>
        <v>24.9</v>
      </c>
      <c r="AF6" s="11" cm="1">
        <f t="array" ref="AF6">AF4/AF5*1000</f>
        <v>31.4142857142857</v>
      </c>
      <c r="AG6" s="11" cm="1">
        <f t="array" ref="AG6">AG4/AG5*1000</f>
        <v>31.8666666666667</v>
      </c>
      <c r="AH6" s="11" cm="1">
        <f t="array" ref="AH6">AH4/AH5*1000</f>
        <v>38.3166666666667</v>
      </c>
      <c r="AI6" s="11" cm="1">
        <f t="array" ref="AI6">AI4/AI5*1000</f>
        <v>85.3958333333333</v>
      </c>
      <c r="AJ6" s="11" cm="1">
        <f t="array" ref="AJ6">AJ4/AJ5*1000</f>
        <v>29.99</v>
      </c>
      <c r="AK6" s="11" cm="1">
        <f t="array" ref="AK6">AK4/AK5*1000</f>
        <v>37.5555555555556</v>
      </c>
      <c r="AL6" s="11" cm="1">
        <f t="array" ref="AL6">AL4/AL5*1000</f>
        <v>49.9833333333333</v>
      </c>
      <c r="AM6" s="14">
        <v>19.9</v>
      </c>
      <c r="AN6" s="11" cm="1">
        <f t="array" ref="AN6">AN4/AN5*1000</f>
        <v>15.49</v>
      </c>
      <c r="AO6" s="11" cm="1">
        <f t="array" ref="AO6">AO4/AO5*1000</f>
        <v>18.39</v>
      </c>
      <c r="AP6" s="11" cm="1">
        <f t="array" ref="AP6">AP4/AP5*1000</f>
        <v>15.79</v>
      </c>
      <c r="AQ6" s="11" cm="1">
        <f t="array" ref="AQ6">AQ4/AQ5*1000</f>
        <v>39.8666666666667</v>
      </c>
      <c r="AR6" s="14">
        <v>29.9</v>
      </c>
      <c r="AS6" s="11" cm="1">
        <f t="array" ref="AS6">AS4/AS5*1000</f>
        <v>61.0925925925926</v>
      </c>
      <c r="AT6" s="11" cm="1">
        <f t="array" ref="AT6">AT4/AT5*1000</f>
        <v>83.3055555555556</v>
      </c>
      <c r="AU6" s="11" cm="1">
        <f t="array" ref="AU6">AU4/AU5*1000</f>
        <v>44.4222222222222</v>
      </c>
    </row>
    <row r="7" ht="32.05" customHeight="1">
      <c r="A7" t="s" s="9">
        <v>69</v>
      </c>
      <c r="B7" t="s" s="15">
        <v>71</v>
      </c>
      <c r="C7" t="s" s="16">
        <v>72</v>
      </c>
      <c r="D7" t="s" s="16">
        <v>76</v>
      </c>
      <c r="E7" t="s" s="16">
        <v>70</v>
      </c>
      <c r="F7" t="s" s="16">
        <v>72</v>
      </c>
      <c r="G7" t="s" s="16">
        <v>71</v>
      </c>
      <c r="H7" t="s" s="16">
        <v>72</v>
      </c>
      <c r="I7" t="s" s="16">
        <v>73</v>
      </c>
      <c r="J7" t="s" s="16">
        <v>71</v>
      </c>
      <c r="K7" t="s" s="16">
        <v>71</v>
      </c>
      <c r="L7" t="s" s="16">
        <v>75</v>
      </c>
      <c r="M7" t="s" s="16">
        <v>71</v>
      </c>
      <c r="N7" t="s" s="16">
        <v>71</v>
      </c>
      <c r="O7" t="s" s="16">
        <v>78</v>
      </c>
      <c r="P7" t="s" s="16">
        <v>79</v>
      </c>
      <c r="Q7" t="s" s="16">
        <v>70</v>
      </c>
      <c r="R7" t="s" s="16">
        <v>78</v>
      </c>
      <c r="S7" t="s" s="16">
        <v>72</v>
      </c>
      <c r="T7" t="s" s="16">
        <v>72</v>
      </c>
      <c r="U7" t="s" s="16">
        <v>71</v>
      </c>
      <c r="V7" t="s" s="16">
        <v>71</v>
      </c>
      <c r="W7" t="s" s="16">
        <v>71</v>
      </c>
      <c r="X7" t="s" s="16">
        <v>80</v>
      </c>
      <c r="Y7" t="s" s="16">
        <v>71</v>
      </c>
      <c r="Z7" t="s" s="16">
        <v>71</v>
      </c>
      <c r="AA7" t="s" s="16">
        <v>71</v>
      </c>
      <c r="AB7" t="s" s="16">
        <v>79</v>
      </c>
      <c r="AC7" t="s" s="16">
        <v>71</v>
      </c>
      <c r="AD7" t="s" s="16">
        <v>71</v>
      </c>
      <c r="AE7" t="s" s="16">
        <v>79</v>
      </c>
      <c r="AF7" t="s" s="17">
        <v>78</v>
      </c>
      <c r="AG7" t="s" s="46">
        <v>79</v>
      </c>
      <c r="AH7" t="s" s="18">
        <v>72</v>
      </c>
      <c r="AI7" t="s" s="16">
        <v>71</v>
      </c>
      <c r="AJ7" t="s" s="16">
        <v>79</v>
      </c>
      <c r="AK7" t="s" s="16">
        <v>72</v>
      </c>
      <c r="AL7" t="s" s="16">
        <v>79</v>
      </c>
      <c r="AM7" t="s" s="16">
        <v>73</v>
      </c>
      <c r="AN7" t="s" s="16">
        <v>77</v>
      </c>
      <c r="AO7" t="s" s="16">
        <v>77</v>
      </c>
      <c r="AP7" t="s" s="16">
        <v>77</v>
      </c>
      <c r="AQ7" t="s" s="16">
        <v>74</v>
      </c>
      <c r="AR7" t="s" s="16">
        <v>73</v>
      </c>
      <c r="AS7" t="s" s="16">
        <v>71</v>
      </c>
      <c r="AT7" t="s" s="16">
        <v>79</v>
      </c>
      <c r="AU7" t="s" s="16">
        <v>71</v>
      </c>
    </row>
    <row r="8" ht="20.05" customHeight="1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ht="32.05" customHeight="1">
      <c r="A9" t="s" s="9">
        <v>81</v>
      </c>
      <c r="B9" s="10">
        <v>25.52</v>
      </c>
      <c r="C9" s="11" cm="1">
        <f t="array" ref="C9">C4*0.75</f>
        <v>26.175</v>
      </c>
      <c r="D9" s="11">
        <v>28</v>
      </c>
      <c r="E9" s="11" cm="1">
        <f t="array" ref="E9">E4*0.9</f>
        <v>41.22</v>
      </c>
      <c r="F9" s="11" cm="1">
        <f t="array" ref="F9">F4*0.7</f>
        <v>19.53</v>
      </c>
      <c r="G9" s="11" cm="1">
        <f t="array" ref="G9">G4*0.8</f>
        <v>25.592</v>
      </c>
      <c r="H9" s="11">
        <v>19.92</v>
      </c>
      <c r="I9" s="11">
        <v>21.29</v>
      </c>
      <c r="J9" s="11" cm="1">
        <f t="array" ref="J9">J4*0.8</f>
        <v>15.992</v>
      </c>
      <c r="K9" s="11">
        <v>20.93</v>
      </c>
      <c r="L9" s="11">
        <v>19.99</v>
      </c>
      <c r="M9" s="11">
        <v>26.32</v>
      </c>
      <c r="N9" s="11" cm="1">
        <f t="array" ref="N9">N4*0.85</f>
        <v>31.4415</v>
      </c>
      <c r="O9" s="11" cm="1">
        <f t="array" ref="O9">O4*0.8</f>
        <v>15.992</v>
      </c>
      <c r="P9" s="11" cm="1">
        <f t="array" ref="P9">P4*0.8</f>
        <v>31.992</v>
      </c>
      <c r="Q9" s="11">
        <v>16.23</v>
      </c>
      <c r="R9" s="11" cm="1">
        <f t="array" ref="R9">R4*0.8</f>
        <v>19.992</v>
      </c>
      <c r="S9" s="11" cm="1">
        <f t="array" ref="S9">S4*0.85</f>
        <v>25.415</v>
      </c>
      <c r="T9" s="11">
        <v>14.32</v>
      </c>
      <c r="U9" s="11">
        <v>13.68</v>
      </c>
      <c r="V9" s="11">
        <v>8.09</v>
      </c>
      <c r="W9" s="11">
        <v>26.32</v>
      </c>
      <c r="X9" s="11">
        <v>29.99</v>
      </c>
      <c r="Y9" s="11" cm="1">
        <f t="array" ref="Y9">Y4*0.8</f>
        <v>19.92</v>
      </c>
      <c r="Z9" s="11">
        <v>19.99</v>
      </c>
      <c r="AA9" s="11">
        <v>26.99</v>
      </c>
      <c r="AB9" s="11" cm="1">
        <f t="array" ref="AB9">AB4*0.8</f>
        <v>30.392</v>
      </c>
      <c r="AC9" s="11">
        <v>14.36</v>
      </c>
      <c r="AD9" s="11">
        <v>21.6</v>
      </c>
      <c r="AE9" s="11">
        <v>24.9</v>
      </c>
      <c r="AF9" s="11" cm="1">
        <f t="array" ref="AF9">AF4*0.8</f>
        <v>17.592</v>
      </c>
      <c r="AG9" s="11" cm="1">
        <f t="array" ref="AG9">AG4*0.85</f>
        <v>20.315</v>
      </c>
      <c r="AH9" s="11">
        <v>18.39</v>
      </c>
      <c r="AI9" s="11">
        <v>21.59</v>
      </c>
      <c r="AJ9" s="11" cm="1">
        <f t="array" ref="AJ9">AJ4*0.8</f>
        <v>23.992</v>
      </c>
      <c r="AK9" s="11">
        <v>13.52</v>
      </c>
      <c r="AL9" s="11" cm="1">
        <f t="array" ref="AL9">AL4*0.8</f>
        <v>23.992</v>
      </c>
      <c r="AM9" s="11">
        <v>17.01</v>
      </c>
      <c r="AN9" s="11" cm="1">
        <f t="array" ref="AN9">AN4*0.9</f>
        <v>13.941</v>
      </c>
      <c r="AO9" s="11" cm="1">
        <f t="array" ref="AO9">AO4*0.9</f>
        <v>16.551</v>
      </c>
      <c r="AP9" s="11" cm="1">
        <f t="array" ref="AP9">AP4*0.9</f>
        <v>14.211</v>
      </c>
      <c r="AQ9" s="11">
        <v>25.42</v>
      </c>
      <c r="AR9" s="11">
        <v>25.56</v>
      </c>
      <c r="AS9" s="11" cm="1">
        <f t="array" ref="AS9">AS4*0.85</f>
        <v>28.0415</v>
      </c>
      <c r="AT9" s="11" cm="1">
        <f t="array" ref="AT9">AT4*0.8</f>
        <v>23.992</v>
      </c>
      <c r="AU9" s="11" cm="1">
        <f t="array" ref="AU9">AU4*0.85</f>
        <v>16.9915</v>
      </c>
    </row>
    <row r="10" ht="32.05" customHeight="1">
      <c r="A10" t="s" s="9">
        <v>82</v>
      </c>
      <c r="B10" s="10" cm="1">
        <f t="array" ref="B10">B9/B5*1000</f>
        <v>31.9</v>
      </c>
      <c r="C10" s="11" cm="1">
        <f t="array" ref="C10">C9/C5*1000</f>
        <v>26.175</v>
      </c>
      <c r="D10" s="11" cm="1">
        <f t="array" ref="D10">D9/D5*1000</f>
        <v>28</v>
      </c>
      <c r="E10" s="11" cm="1">
        <f t="array" ref="E10">E9/E5*1000</f>
        <v>41.22</v>
      </c>
      <c r="F10" s="11" cm="1">
        <f t="array" ref="F10">F9/F5*1000</f>
        <v>19.53</v>
      </c>
      <c r="G10" s="11" cm="1">
        <f t="array" ref="G10">G9/G5*1000</f>
        <v>28.1850220264317</v>
      </c>
      <c r="H10" s="11" cm="1">
        <f t="array" ref="H10">H9/H5*1000</f>
        <v>49.8</v>
      </c>
      <c r="I10" s="11" cm="1">
        <f t="array" ref="I10">I9/I5*1000</f>
        <v>21.29</v>
      </c>
      <c r="J10" s="11" cm="1">
        <f t="array" ref="J10">J9/J5*1000</f>
        <v>15.992</v>
      </c>
      <c r="K10" s="11" cm="1">
        <f t="array" ref="K10">K9/K5*1000</f>
        <v>29.9</v>
      </c>
      <c r="L10" s="11" cm="1">
        <f t="array" ref="L10">L9/L5*1000</f>
        <v>19.99</v>
      </c>
      <c r="M10" s="11" cm="1">
        <f t="array" ref="M10">M9/M5*1000</f>
        <v>26.32</v>
      </c>
      <c r="N10" s="11" cm="1">
        <f t="array" ref="N10">N9/N5*1000</f>
        <v>65.503125</v>
      </c>
      <c r="O10" s="11" cm="1">
        <f t="array" ref="O10">O9/O5*1000</f>
        <v>21.3226666666667</v>
      </c>
      <c r="P10" s="11" cm="1">
        <f t="array" ref="P10">P9/P5*1000</f>
        <v>42.656</v>
      </c>
      <c r="Q10" s="11" cm="1">
        <f t="array" ref="Q10">Q9/Q5*1000</f>
        <v>18.0333333333333</v>
      </c>
      <c r="R10" s="11" cm="1">
        <f t="array" ref="R10">R9/R5*1000</f>
        <v>28.56</v>
      </c>
      <c r="S10" s="11" cm="1">
        <f t="array" ref="S10">S9/S5*1000</f>
        <v>27.9285714285714</v>
      </c>
      <c r="T10" s="11" cm="1">
        <f t="array" ref="T10">T9/T5*1000</f>
        <v>19.0933333333333</v>
      </c>
      <c r="U10" s="11" cm="1">
        <f t="array" ref="U10">U9/U5*1000</f>
        <v>45.6</v>
      </c>
      <c r="V10" s="11" cm="1">
        <f t="array" ref="V10">V9/V5*1000</f>
        <v>14.4464285714286</v>
      </c>
      <c r="W10" s="11" cm="1">
        <f t="array" ref="W10">W9/W5*1000</f>
        <v>26.32</v>
      </c>
      <c r="X10" s="11" cm="1">
        <f t="array" ref="X10">X9/X5*1000</f>
        <v>59.98</v>
      </c>
      <c r="Y10" s="11" cm="1">
        <f t="array" ref="Y10">Y9/Y5*1000</f>
        <v>39.84</v>
      </c>
      <c r="Z10" s="11" cm="1">
        <f t="array" ref="Z10">Z9/Z5*1000</f>
        <v>49.975</v>
      </c>
      <c r="AA10" s="11" cm="1">
        <f t="array" ref="AA10">AA9/AA5*1000</f>
        <v>29.9888888888889</v>
      </c>
      <c r="AB10" s="11" cm="1">
        <f t="array" ref="AB10">AB9/AB5*1000</f>
        <v>33.7688888888889</v>
      </c>
      <c r="AC10" s="11" cm="1">
        <f t="array" ref="AC10">AC9/AC5*1000</f>
        <v>28.72</v>
      </c>
      <c r="AD10" s="11" cm="1">
        <f t="array" ref="AD10">AD9/AD5*1000</f>
        <v>32.7272727272727</v>
      </c>
      <c r="AE10" s="11" cm="1">
        <f t="array" ref="AE10">AE9/AE5*1000</f>
        <v>24.9</v>
      </c>
      <c r="AF10" s="11" cm="1">
        <f t="array" ref="AF10">AF9/AF5*1000</f>
        <v>25.1314285714286</v>
      </c>
      <c r="AG10" s="11" cm="1">
        <f t="array" ref="AG10">AG9/AG5*1000</f>
        <v>27.0866666666667</v>
      </c>
      <c r="AH10" s="11" cm="1">
        <f t="array" ref="AH10">AH9/AH5*1000</f>
        <v>30.65</v>
      </c>
      <c r="AI10" s="11" cm="1">
        <f t="array" ref="AI10">AI9/AI5*1000</f>
        <v>44.9791666666667</v>
      </c>
      <c r="AJ10" s="11" cm="1">
        <f t="array" ref="AJ10">AJ9/AJ5*1000</f>
        <v>23.992</v>
      </c>
      <c r="AK10" s="11" cm="1">
        <f t="array" ref="AK10">AK9/AK5*1000</f>
        <v>30.0444444444444</v>
      </c>
      <c r="AL10" s="11" cm="1">
        <f t="array" ref="AL10">AL9/AL5*1000</f>
        <v>39.9866666666667</v>
      </c>
      <c r="AM10" s="11" cm="1">
        <f t="array" ref="AM10">AM9/AM5*1000</f>
        <v>17.01</v>
      </c>
      <c r="AN10" s="11" cm="1">
        <f t="array" ref="AN10">AN9/AN5*1000</f>
        <v>13.941</v>
      </c>
      <c r="AO10" s="11" cm="1">
        <f t="array" ref="AO10">AO9/AO5*1000</f>
        <v>16.551</v>
      </c>
      <c r="AP10" s="11" cm="1">
        <f t="array" ref="AP10">AP9/AP5*1000</f>
        <v>14.211</v>
      </c>
      <c r="AQ10" s="11" cm="1">
        <f t="array" ref="AQ10">AQ9/AQ5*1000</f>
        <v>33.8933333333333</v>
      </c>
      <c r="AR10" s="11" cm="1">
        <f t="array" ref="AR10">AR9/AR5*1000</f>
        <v>25.56</v>
      </c>
      <c r="AS10" s="11" cm="1">
        <f t="array" ref="AS10">AS9/AS5*1000</f>
        <v>51.9287037037037</v>
      </c>
      <c r="AT10" s="11" cm="1">
        <f t="array" ref="AT10">AT9/AT5*1000</f>
        <v>66.6444444444444</v>
      </c>
      <c r="AU10" s="11" cm="1">
        <f t="array" ref="AU10">AU9/AU5*1000</f>
        <v>37.7588888888889</v>
      </c>
    </row>
    <row r="11" ht="32.05" customHeight="1">
      <c r="A11" t="s" s="9">
        <v>83</v>
      </c>
      <c r="B11" t="s" s="15">
        <v>89</v>
      </c>
      <c r="C11" t="s" s="16">
        <v>90</v>
      </c>
      <c r="D11" t="s" s="16">
        <v>89</v>
      </c>
      <c r="E11" t="s" s="16">
        <v>86</v>
      </c>
      <c r="F11" t="s" s="16">
        <v>86</v>
      </c>
      <c r="G11" t="s" s="16">
        <v>89</v>
      </c>
      <c r="H11" t="s" s="16">
        <v>86</v>
      </c>
      <c r="I11" t="s" s="16">
        <v>86</v>
      </c>
      <c r="J11" t="s" s="16">
        <v>89</v>
      </c>
      <c r="K11" t="s" s="16">
        <v>89</v>
      </c>
      <c r="L11" t="s" s="16">
        <v>88</v>
      </c>
      <c r="M11" t="s" s="16">
        <v>89</v>
      </c>
      <c r="N11" t="s" s="16">
        <v>90</v>
      </c>
      <c r="O11" t="s" s="16">
        <v>90</v>
      </c>
      <c r="P11" t="s" s="16">
        <v>89</v>
      </c>
      <c r="Q11" t="s" s="16">
        <v>84</v>
      </c>
      <c r="R11" t="s" s="16">
        <v>90</v>
      </c>
      <c r="S11" t="s" s="16">
        <v>86</v>
      </c>
      <c r="T11" t="s" s="16">
        <v>86</v>
      </c>
      <c r="U11" t="s" s="16">
        <v>85</v>
      </c>
      <c r="V11" t="s" s="16">
        <v>85</v>
      </c>
      <c r="W11" t="s" s="16">
        <v>89</v>
      </c>
      <c r="X11" t="s" s="16">
        <v>91</v>
      </c>
      <c r="Y11" t="s" s="16">
        <v>89</v>
      </c>
      <c r="Z11" t="s" s="16">
        <v>89</v>
      </c>
      <c r="AA11" t="s" s="16">
        <v>90</v>
      </c>
      <c r="AB11" t="s" s="16">
        <v>89</v>
      </c>
      <c r="AC11" t="s" s="16">
        <v>89</v>
      </c>
      <c r="AD11" t="s" s="16">
        <v>88</v>
      </c>
      <c r="AE11" t="s" s="16">
        <v>92</v>
      </c>
      <c r="AF11" t="s" s="16">
        <v>90</v>
      </c>
      <c r="AG11" t="s" s="16">
        <v>89</v>
      </c>
      <c r="AH11" t="s" s="16">
        <v>89</v>
      </c>
      <c r="AI11" t="s" s="16">
        <v>85</v>
      </c>
      <c r="AJ11" t="s" s="16">
        <v>89</v>
      </c>
      <c r="AK11" t="s" s="16">
        <v>86</v>
      </c>
      <c r="AL11" t="s" s="16">
        <v>89</v>
      </c>
      <c r="AM11" t="s" s="16">
        <v>86</v>
      </c>
      <c r="AN11" t="s" s="16">
        <v>88</v>
      </c>
      <c r="AO11" t="s" s="16">
        <v>88</v>
      </c>
      <c r="AP11" t="s" s="16">
        <v>88</v>
      </c>
      <c r="AQ11" t="s" s="16">
        <v>87</v>
      </c>
      <c r="AR11" t="s" s="16">
        <v>86</v>
      </c>
      <c r="AS11" t="s" s="16">
        <v>90</v>
      </c>
      <c r="AT11" t="s" s="16">
        <v>89</v>
      </c>
      <c r="AU11" t="s" s="16">
        <v>89</v>
      </c>
    </row>
    <row r="12" ht="20.05" customHeight="1">
      <c r="A12" s="1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2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ht="20.05" customHeight="1">
      <c r="A13" t="s" s="9">
        <v>93</v>
      </c>
      <c r="B13" s="22">
        <v>4</v>
      </c>
      <c r="C13" s="23">
        <v>4</v>
      </c>
      <c r="D13" s="23">
        <v>6</v>
      </c>
      <c r="E13" s="23">
        <v>2</v>
      </c>
      <c r="F13" s="23">
        <v>4</v>
      </c>
      <c r="G13" s="23">
        <v>8</v>
      </c>
      <c r="H13" s="23">
        <v>6</v>
      </c>
      <c r="I13" s="23">
        <v>4</v>
      </c>
      <c r="J13" s="23">
        <v>8</v>
      </c>
      <c r="K13" t="s" s="24">
        <v>94</v>
      </c>
      <c r="L13" s="23">
        <v>19</v>
      </c>
      <c r="M13" s="23">
        <v>23</v>
      </c>
      <c r="N13" s="23">
        <v>8</v>
      </c>
      <c r="O13" s="23">
        <v>6</v>
      </c>
      <c r="P13" s="23">
        <v>1</v>
      </c>
      <c r="Q13" s="23">
        <v>2</v>
      </c>
      <c r="R13" s="23">
        <v>3</v>
      </c>
      <c r="S13" s="23">
        <v>2</v>
      </c>
      <c r="T13" s="23">
        <v>11</v>
      </c>
      <c r="U13" s="23">
        <v>2</v>
      </c>
      <c r="V13" s="23">
        <v>4</v>
      </c>
      <c r="W13" s="23">
        <v>21</v>
      </c>
      <c r="X13" s="23">
        <v>3</v>
      </c>
      <c r="Y13" s="23">
        <v>6</v>
      </c>
      <c r="Z13" s="23">
        <v>3</v>
      </c>
      <c r="AA13" s="23">
        <v>6</v>
      </c>
      <c r="AB13" s="23">
        <v>12</v>
      </c>
      <c r="AC13" s="23">
        <v>7</v>
      </c>
      <c r="AD13" s="23">
        <v>2</v>
      </c>
      <c r="AE13" s="23">
        <v>2</v>
      </c>
      <c r="AF13" s="23">
        <v>4</v>
      </c>
      <c r="AG13" s="23">
        <v>4</v>
      </c>
      <c r="AH13" s="23">
        <v>2</v>
      </c>
      <c r="AI13" s="23">
        <v>3</v>
      </c>
      <c r="AJ13" s="23">
        <v>2</v>
      </c>
      <c r="AK13" s="23">
        <v>7</v>
      </c>
      <c r="AL13" s="23">
        <v>1</v>
      </c>
      <c r="AM13" s="23">
        <v>4</v>
      </c>
      <c r="AN13" s="23">
        <v>6</v>
      </c>
      <c r="AO13" s="23">
        <v>11</v>
      </c>
      <c r="AP13" s="23">
        <v>5</v>
      </c>
      <c r="AQ13" s="23">
        <v>5</v>
      </c>
      <c r="AR13" s="23">
        <v>4</v>
      </c>
      <c r="AS13" s="23">
        <v>11</v>
      </c>
      <c r="AT13" s="23">
        <v>3</v>
      </c>
      <c r="AU13" s="23">
        <v>2</v>
      </c>
    </row>
    <row r="14" ht="104.05" customHeight="1">
      <c r="A14" t="s" s="9">
        <v>95</v>
      </c>
      <c r="B14" t="s" s="15">
        <v>103</v>
      </c>
      <c r="C14" t="s" s="16">
        <v>105</v>
      </c>
      <c r="D14" t="s" s="16">
        <v>113</v>
      </c>
      <c r="E14" t="s" s="16">
        <v>131</v>
      </c>
      <c r="F14" t="s" s="16">
        <v>98</v>
      </c>
      <c r="G14" t="s" s="16">
        <v>136</v>
      </c>
      <c r="H14" t="s" s="16">
        <v>114</v>
      </c>
      <c r="I14" t="s" s="16">
        <v>101</v>
      </c>
      <c r="J14" t="s" s="16">
        <v>118</v>
      </c>
      <c r="K14" t="s" s="16">
        <v>104</v>
      </c>
      <c r="L14" t="s" s="16">
        <v>96</v>
      </c>
      <c r="M14" t="s" s="16">
        <v>110</v>
      </c>
      <c r="N14" t="s" s="16">
        <v>135</v>
      </c>
      <c r="O14" t="s" s="16">
        <v>124</v>
      </c>
      <c r="P14" t="s" s="16">
        <v>127</v>
      </c>
      <c r="Q14" t="s" s="16">
        <v>96</v>
      </c>
      <c r="R14" t="s" s="16">
        <v>123</v>
      </c>
      <c r="S14" t="s" s="16">
        <v>133</v>
      </c>
      <c r="T14" t="s" s="16">
        <v>115</v>
      </c>
      <c r="U14" t="s" s="16">
        <v>97</v>
      </c>
      <c r="V14" t="s" s="16">
        <v>107</v>
      </c>
      <c r="W14" t="s" s="16">
        <v>111</v>
      </c>
      <c r="X14" t="s" s="16">
        <v>130</v>
      </c>
      <c r="Y14" t="s" s="16">
        <v>117</v>
      </c>
      <c r="Z14" t="s" s="16">
        <v>112</v>
      </c>
      <c r="AA14" t="s" s="16">
        <v>132</v>
      </c>
      <c r="AB14" t="s" s="16">
        <v>126</v>
      </c>
      <c r="AC14" t="s" s="16">
        <v>106</v>
      </c>
      <c r="AD14" t="s" s="16">
        <v>108</v>
      </c>
      <c r="AE14" t="s" s="16">
        <v>139</v>
      </c>
      <c r="AF14" t="s" s="16">
        <v>122</v>
      </c>
      <c r="AG14" t="s" s="16">
        <v>138</v>
      </c>
      <c r="AH14" t="s" s="16">
        <v>109</v>
      </c>
      <c r="AI14" t="s" s="16">
        <v>107</v>
      </c>
      <c r="AJ14" t="s" s="16">
        <v>129</v>
      </c>
      <c r="AK14" t="s" s="16">
        <v>116</v>
      </c>
      <c r="AL14" t="s" s="16">
        <v>128</v>
      </c>
      <c r="AM14" t="s" s="16">
        <v>100</v>
      </c>
      <c r="AN14" t="s" s="16">
        <v>120</v>
      </c>
      <c r="AO14" t="s" s="16">
        <v>119</v>
      </c>
      <c r="AP14" t="s" s="16">
        <v>121</v>
      </c>
      <c r="AQ14" t="s" s="16">
        <v>102</v>
      </c>
      <c r="AR14" t="s" s="16">
        <v>99</v>
      </c>
      <c r="AS14" t="s" s="16">
        <v>134</v>
      </c>
      <c r="AT14" t="s" s="16">
        <v>125</v>
      </c>
      <c r="AU14" t="s" s="16">
        <v>137</v>
      </c>
    </row>
    <row r="15" ht="92.05" customHeight="1">
      <c r="A15" t="s" s="9">
        <v>140</v>
      </c>
      <c r="B15" s="20"/>
      <c r="C15" s="21"/>
      <c r="D15" s="21"/>
      <c r="E15" t="s" s="16">
        <v>160</v>
      </c>
      <c r="F15" s="21"/>
      <c r="G15" s="21"/>
      <c r="H15" s="21"/>
      <c r="I15" t="s" s="16">
        <v>145</v>
      </c>
      <c r="J15" t="s" s="16">
        <v>153</v>
      </c>
      <c r="K15" t="s" s="16">
        <v>147</v>
      </c>
      <c r="L15" s="21"/>
      <c r="M15" t="s" s="16">
        <v>150</v>
      </c>
      <c r="N15" t="s" s="16">
        <v>162</v>
      </c>
      <c r="O15" t="s" s="16">
        <v>158</v>
      </c>
      <c r="P15" s="21"/>
      <c r="Q15" t="s" s="16">
        <v>141</v>
      </c>
      <c r="R15" t="s" s="16">
        <v>157</v>
      </c>
      <c r="S15" t="s" s="16">
        <v>156</v>
      </c>
      <c r="T15" t="s" s="16">
        <v>151</v>
      </c>
      <c r="U15" s="21"/>
      <c r="V15" s="21"/>
      <c r="W15" t="s" s="16">
        <v>150</v>
      </c>
      <c r="X15" s="21"/>
      <c r="Y15" t="s" s="16">
        <v>152</v>
      </c>
      <c r="Z15" s="21"/>
      <c r="AA15" s="21"/>
      <c r="AB15" s="21"/>
      <c r="AC15" s="21"/>
      <c r="AD15" s="21"/>
      <c r="AE15" t="s" s="16">
        <v>163</v>
      </c>
      <c r="AF15" t="s" s="16">
        <v>156</v>
      </c>
      <c r="AG15" s="21"/>
      <c r="AH15" t="s" s="16">
        <v>149</v>
      </c>
      <c r="AI15" t="s" s="16">
        <v>148</v>
      </c>
      <c r="AJ15" s="21"/>
      <c r="AK15" s="21"/>
      <c r="AL15" t="s" s="16">
        <v>159</v>
      </c>
      <c r="AM15" t="s" s="16">
        <v>144</v>
      </c>
      <c r="AN15" t="s" s="16">
        <v>154</v>
      </c>
      <c r="AO15" t="s" s="16">
        <v>154</v>
      </c>
      <c r="AP15" t="s" s="16">
        <v>155</v>
      </c>
      <c r="AQ15" t="s" s="16">
        <v>146</v>
      </c>
      <c r="AR15" t="s" s="16">
        <v>143</v>
      </c>
      <c r="AS15" t="s" s="16">
        <v>161</v>
      </c>
      <c r="AT15" s="21"/>
      <c r="AU15" s="21"/>
    </row>
    <row r="16" ht="20.05" customHeight="1">
      <c r="A16" s="19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ht="32.05" customHeight="1">
      <c r="A17" t="s" s="9">
        <v>164</v>
      </c>
      <c r="B17" t="s" s="27">
        <v>172</v>
      </c>
      <c r="C17" t="s" s="28">
        <v>174</v>
      </c>
      <c r="D17" t="s" s="28">
        <v>182</v>
      </c>
      <c r="E17" t="s" s="28">
        <v>194</v>
      </c>
      <c r="F17" t="s" s="28">
        <v>167</v>
      </c>
      <c r="G17" t="s" s="28">
        <v>198</v>
      </c>
      <c r="H17" t="s" s="28">
        <v>183</v>
      </c>
      <c r="I17" t="s" s="28">
        <v>169</v>
      </c>
      <c r="J17" t="s" s="28">
        <v>178</v>
      </c>
      <c r="K17" t="s" s="28">
        <v>173</v>
      </c>
      <c r="L17" t="s" s="28">
        <v>171</v>
      </c>
      <c r="M17" t="s" s="28">
        <v>169</v>
      </c>
      <c r="N17" t="s" s="28">
        <v>197</v>
      </c>
      <c r="O17" t="s" s="28">
        <v>187</v>
      </c>
      <c r="P17" t="s" s="28">
        <v>190</v>
      </c>
      <c r="Q17" t="s" s="28">
        <v>165</v>
      </c>
      <c r="R17" t="s" s="28">
        <v>186</v>
      </c>
      <c r="S17" t="s" s="28">
        <v>196</v>
      </c>
      <c r="T17" t="s" s="28">
        <v>178</v>
      </c>
      <c r="U17" t="s" s="28">
        <v>166</v>
      </c>
      <c r="V17" t="s" s="28">
        <v>176</v>
      </c>
      <c r="W17" t="s" s="28">
        <v>180</v>
      </c>
      <c r="X17" t="s" s="28">
        <v>193</v>
      </c>
      <c r="Y17" t="s" s="28">
        <v>178</v>
      </c>
      <c r="Z17" t="s" s="28">
        <v>181</v>
      </c>
      <c r="AA17" t="s" s="28">
        <v>195</v>
      </c>
      <c r="AB17" t="s" s="28">
        <v>189</v>
      </c>
      <c r="AC17" t="s" s="28">
        <v>175</v>
      </c>
      <c r="AD17" t="s" s="28">
        <v>178</v>
      </c>
      <c r="AE17" t="s" s="28">
        <v>200</v>
      </c>
      <c r="AF17" t="s" s="28">
        <v>186</v>
      </c>
      <c r="AG17" t="s" s="28">
        <v>199</v>
      </c>
      <c r="AH17" t="s" s="28">
        <v>179</v>
      </c>
      <c r="AI17" t="s" s="28">
        <v>177</v>
      </c>
      <c r="AJ17" t="s" s="28">
        <v>192</v>
      </c>
      <c r="AK17" t="s" s="28">
        <v>184</v>
      </c>
      <c r="AL17" t="s" s="28">
        <v>191</v>
      </c>
      <c r="AM17" t="s" s="28">
        <v>168</v>
      </c>
      <c r="AN17" t="s" s="28">
        <v>178</v>
      </c>
      <c r="AO17" t="s" s="28">
        <v>185</v>
      </c>
      <c r="AP17" t="s" s="28">
        <v>178</v>
      </c>
      <c r="AQ17" t="s" s="28">
        <v>170</v>
      </c>
      <c r="AR17" t="s" s="28">
        <v>168</v>
      </c>
      <c r="AS17" t="s" s="28">
        <v>194</v>
      </c>
      <c r="AT17" t="s" s="28">
        <v>188</v>
      </c>
      <c r="AU17" t="s" s="28">
        <v>194</v>
      </c>
    </row>
    <row r="18" ht="20.05" customHeight="1">
      <c r="A18" t="s" s="9">
        <v>201</v>
      </c>
      <c r="B18" s="29">
        <v>417</v>
      </c>
      <c r="C18" s="30">
        <v>386</v>
      </c>
      <c r="D18" s="30">
        <v>396</v>
      </c>
      <c r="E18" s="30">
        <v>372</v>
      </c>
      <c r="F18" s="30">
        <v>384</v>
      </c>
      <c r="G18" s="30">
        <v>385</v>
      </c>
      <c r="H18" s="30">
        <v>319</v>
      </c>
      <c r="I18" s="30">
        <v>436</v>
      </c>
      <c r="J18" s="30">
        <v>373</v>
      </c>
      <c r="K18" s="30">
        <v>375</v>
      </c>
      <c r="L18" s="30">
        <v>439</v>
      </c>
      <c r="M18" s="30">
        <v>370</v>
      </c>
      <c r="N18" s="30">
        <v>325</v>
      </c>
      <c r="O18" s="30">
        <v>401</v>
      </c>
      <c r="P18" s="30">
        <v>405</v>
      </c>
      <c r="Q18" s="30">
        <v>406</v>
      </c>
      <c r="R18" s="30">
        <v>380</v>
      </c>
      <c r="S18" s="30">
        <v>405</v>
      </c>
      <c r="T18" s="30">
        <v>360</v>
      </c>
      <c r="U18" s="30">
        <v>406</v>
      </c>
      <c r="V18" s="30">
        <v>377</v>
      </c>
      <c r="W18" s="30">
        <v>390</v>
      </c>
      <c r="X18" s="30">
        <v>410</v>
      </c>
      <c r="Y18" s="30">
        <v>390</v>
      </c>
      <c r="Z18" s="30">
        <v>334</v>
      </c>
      <c r="AA18" s="30">
        <v>390</v>
      </c>
      <c r="AB18" s="30">
        <v>382</v>
      </c>
      <c r="AC18" s="30">
        <v>378</v>
      </c>
      <c r="AD18" s="30">
        <v>371</v>
      </c>
      <c r="AE18" s="30">
        <v>372</v>
      </c>
      <c r="AF18" s="30">
        <v>417</v>
      </c>
      <c r="AG18" s="30">
        <v>402</v>
      </c>
      <c r="AH18" s="30">
        <v>401</v>
      </c>
      <c r="AI18" s="30">
        <v>367</v>
      </c>
      <c r="AJ18" s="30">
        <v>363</v>
      </c>
      <c r="AK18" s="30">
        <v>365</v>
      </c>
      <c r="AL18" s="30">
        <v>382</v>
      </c>
      <c r="AM18" s="30">
        <v>412</v>
      </c>
      <c r="AN18" s="30">
        <v>360</v>
      </c>
      <c r="AO18" s="30">
        <v>356</v>
      </c>
      <c r="AP18" s="30">
        <v>364</v>
      </c>
      <c r="AQ18" s="30">
        <v>393</v>
      </c>
      <c r="AR18" s="30">
        <v>396</v>
      </c>
      <c r="AS18" s="30">
        <v>387</v>
      </c>
      <c r="AT18" s="30" cm="1">
        <f t="array" ref="AT18">105/30*100</f>
        <v>350</v>
      </c>
      <c r="AU18" s="30">
        <v>394</v>
      </c>
    </row>
    <row r="19" ht="20.05" customHeight="1">
      <c r="A19" t="s" s="9">
        <v>202</v>
      </c>
      <c r="B19" s="12">
        <v>6.5</v>
      </c>
      <c r="C19" s="13">
        <v>5.8</v>
      </c>
      <c r="D19" s="13">
        <v>6.7</v>
      </c>
      <c r="E19" s="13">
        <v>0.5</v>
      </c>
      <c r="F19" s="13">
        <v>6.1</v>
      </c>
      <c r="G19" s="13">
        <v>5</v>
      </c>
      <c r="H19" s="13">
        <v>0.2</v>
      </c>
      <c r="I19" s="13">
        <v>1.5</v>
      </c>
      <c r="J19" s="13">
        <v>0.9</v>
      </c>
      <c r="K19" s="13">
        <v>3.2</v>
      </c>
      <c r="L19" s="13">
        <v>7.8</v>
      </c>
      <c r="M19" s="13">
        <v>2.3</v>
      </c>
      <c r="N19" s="13">
        <v>0.1</v>
      </c>
      <c r="O19" s="13">
        <v>7.6</v>
      </c>
      <c r="P19" s="13">
        <v>6.1</v>
      </c>
      <c r="Q19" s="13">
        <v>7.7</v>
      </c>
      <c r="R19" s="13">
        <v>5.7</v>
      </c>
      <c r="S19" s="13">
        <v>8.5</v>
      </c>
      <c r="T19" s="13">
        <v>5.6</v>
      </c>
      <c r="U19" s="13">
        <v>7.8</v>
      </c>
      <c r="V19" s="13">
        <v>1.8</v>
      </c>
      <c r="W19" s="13">
        <v>1.8</v>
      </c>
      <c r="X19" s="13">
        <v>9.140000000000001</v>
      </c>
      <c r="Y19" s="13">
        <v>6.8</v>
      </c>
      <c r="Z19" s="13">
        <v>0</v>
      </c>
      <c r="AA19" s="13">
        <v>7.2</v>
      </c>
      <c r="AB19" s="13">
        <v>6.3</v>
      </c>
      <c r="AC19" s="13">
        <v>4.9</v>
      </c>
      <c r="AD19" s="13">
        <v>3.9</v>
      </c>
      <c r="AE19" s="13">
        <v>6</v>
      </c>
      <c r="AF19" s="13">
        <v>6.6</v>
      </c>
      <c r="AG19" s="13">
        <v>8.6</v>
      </c>
      <c r="AH19" s="13">
        <v>8.199999999999999</v>
      </c>
      <c r="AI19" s="13">
        <v>0.5</v>
      </c>
      <c r="AJ19" s="13">
        <v>4.3</v>
      </c>
      <c r="AK19" s="13">
        <v>7.1</v>
      </c>
      <c r="AL19" s="13">
        <v>5.3</v>
      </c>
      <c r="AM19" s="13">
        <v>4.7</v>
      </c>
      <c r="AN19" s="13">
        <v>0.6</v>
      </c>
      <c r="AO19" s="13">
        <v>2.3</v>
      </c>
      <c r="AP19" s="13">
        <v>1.7</v>
      </c>
      <c r="AQ19" s="13">
        <v>9.199999999999999</v>
      </c>
      <c r="AR19" s="13">
        <v>5.8</v>
      </c>
      <c r="AS19" s="13">
        <v>6</v>
      </c>
      <c r="AT19" s="13" cm="1">
        <f t="array" ref="AT19">0.1/30*100</f>
        <v>0.333333333333333</v>
      </c>
      <c r="AU19" s="13">
        <v>7.1</v>
      </c>
    </row>
    <row r="20" ht="20.05" customHeight="1">
      <c r="A20" t="s" s="9">
        <v>203</v>
      </c>
      <c r="B20" s="12">
        <v>1.8</v>
      </c>
      <c r="C20" s="13">
        <v>1.5</v>
      </c>
      <c r="D20" s="13">
        <v>1.8</v>
      </c>
      <c r="E20" s="13">
        <v>0.5</v>
      </c>
      <c r="F20" s="13">
        <v>1.8</v>
      </c>
      <c r="G20" s="13">
        <v>0.3</v>
      </c>
      <c r="H20" s="13">
        <v>0.1</v>
      </c>
      <c r="I20" s="13">
        <v>1.1</v>
      </c>
      <c r="J20" s="13">
        <v>0.2</v>
      </c>
      <c r="K20" s="13">
        <v>0.9</v>
      </c>
      <c r="L20" s="13">
        <v>2.1</v>
      </c>
      <c r="M20" s="13">
        <v>1</v>
      </c>
      <c r="N20" s="13">
        <v>0.1</v>
      </c>
      <c r="O20" s="13">
        <v>1.3</v>
      </c>
      <c r="P20" s="13">
        <v>1.1</v>
      </c>
      <c r="Q20" s="13">
        <v>1.5</v>
      </c>
      <c r="R20" s="13">
        <v>1.7</v>
      </c>
      <c r="S20" s="13">
        <v>3.4</v>
      </c>
      <c r="T20" s="13">
        <v>2</v>
      </c>
      <c r="U20" s="13">
        <v>1.6</v>
      </c>
      <c r="V20" s="13">
        <v>0.3</v>
      </c>
      <c r="W20" s="13">
        <v>0.3</v>
      </c>
      <c r="X20" s="13">
        <v>1.76</v>
      </c>
      <c r="Y20" s="13">
        <v>1.4</v>
      </c>
      <c r="Z20" s="13">
        <v>0.1</v>
      </c>
      <c r="AA20" s="13">
        <v>1.9</v>
      </c>
      <c r="AB20" s="13">
        <v>1.5</v>
      </c>
      <c r="AC20" s="13">
        <v>1.2</v>
      </c>
      <c r="AD20" s="13">
        <v>0.8</v>
      </c>
      <c r="AE20" s="13">
        <v>2</v>
      </c>
      <c r="AF20" s="13">
        <v>1.8</v>
      </c>
      <c r="AG20" s="13">
        <v>2.2</v>
      </c>
      <c r="AH20" s="13">
        <v>1.9</v>
      </c>
      <c r="AI20" s="13">
        <v>0.2</v>
      </c>
      <c r="AJ20" s="13">
        <v>1.6</v>
      </c>
      <c r="AK20" s="13">
        <v>1.4</v>
      </c>
      <c r="AL20" s="13">
        <v>1.2</v>
      </c>
      <c r="AM20" s="13">
        <v>1.4</v>
      </c>
      <c r="AN20" s="13">
        <v>0.1</v>
      </c>
      <c r="AO20" s="13">
        <v>0.5</v>
      </c>
      <c r="AP20" s="13">
        <v>0.9</v>
      </c>
      <c r="AQ20" s="13">
        <v>3.5</v>
      </c>
      <c r="AR20" s="13">
        <v>1.1</v>
      </c>
      <c r="AS20" s="13">
        <v>1</v>
      </c>
      <c r="AT20" s="13" cm="1">
        <f t="array" ref="AT20">0.1/30*100</f>
        <v>0.333333333333333</v>
      </c>
      <c r="AU20" s="13">
        <v>1.5</v>
      </c>
    </row>
    <row r="21" ht="20.05" customHeight="1">
      <c r="A21" t="s" s="9">
        <v>204</v>
      </c>
      <c r="B21" s="12">
        <v>5.9</v>
      </c>
      <c r="C21" s="13">
        <v>2</v>
      </c>
      <c r="D21" s="13">
        <v>2.3</v>
      </c>
      <c r="E21" s="13">
        <v>4.7</v>
      </c>
      <c r="F21" s="13">
        <v>1.5</v>
      </c>
      <c r="G21" s="13">
        <v>1.5</v>
      </c>
      <c r="H21" s="13">
        <v>2</v>
      </c>
      <c r="I21" s="13">
        <v>1</v>
      </c>
      <c r="J21" s="13">
        <v>0.9</v>
      </c>
      <c r="K21" s="13">
        <v>4.7</v>
      </c>
      <c r="L21" s="13">
        <v>8.1</v>
      </c>
      <c r="M21" s="13">
        <v>2.9</v>
      </c>
      <c r="N21" s="13">
        <v>7.6</v>
      </c>
      <c r="O21" s="13">
        <v>0.5</v>
      </c>
      <c r="P21" s="13">
        <v>6.2</v>
      </c>
      <c r="Q21" s="13">
        <v>3.6</v>
      </c>
      <c r="R21" s="13">
        <v>4</v>
      </c>
      <c r="S21" s="13">
        <v>1.3</v>
      </c>
      <c r="T21" s="13">
        <v>5.5</v>
      </c>
      <c r="U21" s="13">
        <v>3.5</v>
      </c>
      <c r="V21" s="13">
        <v>8.300000000000001</v>
      </c>
      <c r="W21" s="13">
        <v>5.3</v>
      </c>
      <c r="X21" s="13">
        <v>6.4</v>
      </c>
      <c r="Y21" s="13">
        <v>3</v>
      </c>
      <c r="Z21" s="13">
        <v>4.3</v>
      </c>
      <c r="AA21" s="13">
        <v>7.9</v>
      </c>
      <c r="AB21" s="13">
        <v>5.5</v>
      </c>
      <c r="AC21" s="13">
        <v>6.4</v>
      </c>
      <c r="AD21" s="13">
        <v>4.7</v>
      </c>
      <c r="AE21" s="13">
        <v>6.9</v>
      </c>
      <c r="AF21" s="13">
        <v>14</v>
      </c>
      <c r="AG21" s="13">
        <v>2.6</v>
      </c>
      <c r="AH21" s="13">
        <v>8.300000000000001</v>
      </c>
      <c r="AI21" s="13">
        <v>15</v>
      </c>
      <c r="AJ21" s="13">
        <v>7.2</v>
      </c>
      <c r="AK21" s="13">
        <v>5</v>
      </c>
      <c r="AL21" s="13">
        <v>8.5</v>
      </c>
      <c r="AM21" s="13">
        <v>8.5</v>
      </c>
      <c r="AN21" s="13">
        <v>6.2</v>
      </c>
      <c r="AO21" s="13">
        <v>4</v>
      </c>
      <c r="AP21" s="13">
        <v>5.9</v>
      </c>
      <c r="AQ21" s="13">
        <v>4.3</v>
      </c>
      <c r="AR21" s="13">
        <v>5.5</v>
      </c>
      <c r="AS21" s="13">
        <v>8.9</v>
      </c>
      <c r="AT21" s="13" cm="1">
        <f t="array" ref="AT21">1.5/30*100</f>
        <v>5</v>
      </c>
      <c r="AU21" s="13">
        <v>4.6</v>
      </c>
    </row>
    <row r="22" ht="20.05" customHeight="1">
      <c r="A22" t="s" s="9">
        <v>205</v>
      </c>
      <c r="B22" s="12">
        <v>0.8</v>
      </c>
      <c r="C22" s="13">
        <v>0.6</v>
      </c>
      <c r="D22" s="13">
        <v>0.5</v>
      </c>
      <c r="E22" s="13">
        <v>0.2</v>
      </c>
      <c r="F22" s="13">
        <v>0.1</v>
      </c>
      <c r="G22" s="13">
        <v>0.3</v>
      </c>
      <c r="H22" s="13">
        <v>1</v>
      </c>
      <c r="I22" s="13">
        <v>1</v>
      </c>
      <c r="J22" s="13">
        <v>0</v>
      </c>
      <c r="K22" s="13">
        <v>2.5</v>
      </c>
      <c r="L22" s="13">
        <v>3.8</v>
      </c>
      <c r="M22" s="13">
        <v>1.2</v>
      </c>
      <c r="N22" s="13">
        <v>2.1</v>
      </c>
      <c r="O22" s="13">
        <v>0.5</v>
      </c>
      <c r="P22" s="13">
        <v>0.9</v>
      </c>
      <c r="Q22" s="13">
        <v>1.2</v>
      </c>
      <c r="R22" s="13">
        <v>4</v>
      </c>
      <c r="S22" s="13">
        <v>0.4</v>
      </c>
      <c r="T22" s="13">
        <v>0.5</v>
      </c>
      <c r="U22" s="13">
        <v>1</v>
      </c>
      <c r="V22" s="13">
        <v>0.9</v>
      </c>
      <c r="W22" s="13">
        <v>2.2</v>
      </c>
      <c r="X22" s="13">
        <v>0</v>
      </c>
      <c r="Y22" s="13">
        <v>0.2</v>
      </c>
      <c r="Z22" s="13">
        <v>0</v>
      </c>
      <c r="AA22" s="13">
        <v>5.4</v>
      </c>
      <c r="AB22" s="13">
        <v>1.7</v>
      </c>
      <c r="AC22" s="13">
        <v>0.9</v>
      </c>
      <c r="AD22" s="13">
        <v>2.4</v>
      </c>
      <c r="AE22" s="13">
        <v>1.8</v>
      </c>
      <c r="AF22" s="13">
        <v>0</v>
      </c>
      <c r="AG22" s="13">
        <v>0.5</v>
      </c>
      <c r="AH22" s="13">
        <v>0.6</v>
      </c>
      <c r="AI22" s="13">
        <v>2.7</v>
      </c>
      <c r="AJ22" s="13">
        <v>0.8</v>
      </c>
      <c r="AK22" s="13">
        <v>1</v>
      </c>
      <c r="AL22" s="13">
        <v>3.5</v>
      </c>
      <c r="AM22" s="13">
        <v>3.3</v>
      </c>
      <c r="AN22" s="13">
        <v>0.1</v>
      </c>
      <c r="AO22" s="13">
        <v>0</v>
      </c>
      <c r="AP22" s="13">
        <v>0.1</v>
      </c>
      <c r="AQ22" s="13">
        <v>0.6</v>
      </c>
      <c r="AR22" s="13">
        <v>3.2</v>
      </c>
      <c r="AS22" s="13">
        <v>2.9</v>
      </c>
      <c r="AT22" s="13" cm="1">
        <f t="array" ref="AT22">0.1/30*100</f>
        <v>0.333333333333333</v>
      </c>
      <c r="AU22" s="13">
        <v>0.3</v>
      </c>
    </row>
    <row r="23" ht="20.05" customHeight="1">
      <c r="A23" t="s" s="9">
        <v>206</v>
      </c>
      <c r="B23" s="12">
        <v>81.90000000000001</v>
      </c>
      <c r="C23" s="13">
        <v>80.40000000000001</v>
      </c>
      <c r="D23" s="13">
        <v>79</v>
      </c>
      <c r="E23" s="13">
        <v>80</v>
      </c>
      <c r="F23" s="13">
        <v>78.40000000000001</v>
      </c>
      <c r="G23" s="13">
        <v>82.7</v>
      </c>
      <c r="H23" s="13">
        <v>77</v>
      </c>
      <c r="I23" s="13">
        <v>84.7</v>
      </c>
      <c r="J23" s="13">
        <v>88.2</v>
      </c>
      <c r="K23" s="13">
        <v>82</v>
      </c>
      <c r="L23" s="13">
        <v>82</v>
      </c>
      <c r="M23" s="13">
        <v>83</v>
      </c>
      <c r="N23" s="13">
        <v>72</v>
      </c>
      <c r="O23" s="13">
        <v>81</v>
      </c>
      <c r="P23" s="13">
        <v>80</v>
      </c>
      <c r="Q23" s="13">
        <v>79.5</v>
      </c>
      <c r="R23" s="13">
        <v>79</v>
      </c>
      <c r="S23" s="13">
        <v>78.59999999999999</v>
      </c>
      <c r="T23" s="13">
        <v>79</v>
      </c>
      <c r="U23" s="13">
        <v>80</v>
      </c>
      <c r="V23" s="13">
        <v>80</v>
      </c>
      <c r="W23" s="13">
        <v>82</v>
      </c>
      <c r="X23" s="13">
        <v>75.87</v>
      </c>
      <c r="Y23" s="13">
        <v>78</v>
      </c>
      <c r="Z23" s="13">
        <v>71</v>
      </c>
      <c r="AA23" s="13">
        <v>71</v>
      </c>
      <c r="AB23" s="13">
        <v>75</v>
      </c>
      <c r="AC23" s="13">
        <v>75</v>
      </c>
      <c r="AD23" s="13">
        <v>78</v>
      </c>
      <c r="AE23" s="13">
        <v>72</v>
      </c>
      <c r="AF23" s="13">
        <v>73</v>
      </c>
      <c r="AG23" s="13">
        <v>72</v>
      </c>
      <c r="AH23" s="13">
        <v>73</v>
      </c>
      <c r="AI23" s="13">
        <v>75</v>
      </c>
      <c r="AJ23" s="13">
        <v>71</v>
      </c>
      <c r="AK23" s="13">
        <v>70</v>
      </c>
      <c r="AL23" s="13">
        <v>72</v>
      </c>
      <c r="AM23" s="13">
        <v>69.5</v>
      </c>
      <c r="AN23" s="13">
        <v>86</v>
      </c>
      <c r="AO23" s="13">
        <v>82</v>
      </c>
      <c r="AP23" s="13">
        <v>84</v>
      </c>
      <c r="AQ23" s="13">
        <v>68</v>
      </c>
      <c r="AR23" s="13">
        <v>68.3</v>
      </c>
      <c r="AS23" s="13">
        <v>71</v>
      </c>
      <c r="AT23" s="13" cm="1">
        <f t="array" ref="AT23">23/30*100</f>
        <v>76.6666666666667</v>
      </c>
      <c r="AU23" s="13">
        <v>76</v>
      </c>
    </row>
    <row r="24" ht="20.05" customHeight="1">
      <c r="A24" s="19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ht="20.05" customHeight="1">
      <c r="A25" t="s" s="9">
        <v>207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</row>
    <row r="26" ht="20.05" customHeight="1">
      <c r="A26" t="s" s="31">
        <v>208</v>
      </c>
      <c r="B26" s="12">
        <v>10</v>
      </c>
      <c r="C26" s="13" cm="1">
        <f t="array" ref="C26">10*0.804</f>
        <v>8.039999999999999</v>
      </c>
      <c r="D26" s="13" cm="1">
        <f t="array" ref="D26">11.7*0.79</f>
        <v>9.243</v>
      </c>
      <c r="E26" s="13">
        <v>10</v>
      </c>
      <c r="F26" s="13" cm="1">
        <f t="array" ref="F26">11.2*0.784</f>
        <v>8.780799999999999</v>
      </c>
      <c r="G26" s="13" cm="1">
        <f t="array" ref="G26">14.2*0.827</f>
        <v>11.7434</v>
      </c>
      <c r="H26" s="13" cm="1">
        <f t="array" ref="H26">16.2*0.77</f>
        <v>12.474</v>
      </c>
      <c r="I26" s="13" cm="1">
        <f t="array" ref="I26">8.4*0.847</f>
        <v>7.1148</v>
      </c>
      <c r="J26" s="13">
        <v>6.7</v>
      </c>
      <c r="K26" s="13" cm="1">
        <f t="array" ref="K26">8.3*0.82</f>
        <v>6.806</v>
      </c>
      <c r="L26" s="13" cm="1">
        <f t="array" ref="L26">9.07*0.82</f>
        <v>7.4374</v>
      </c>
      <c r="M26" s="13">
        <v>6.8</v>
      </c>
      <c r="N26" s="13">
        <v>6.6</v>
      </c>
      <c r="O26" s="13" cm="1">
        <f t="array" ref="O26">8.5*0.81</f>
        <v>6.885</v>
      </c>
      <c r="P26" s="13">
        <v>10.2</v>
      </c>
      <c r="Q26" s="13" cm="1">
        <f t="array" ref="Q26">9.07*0.795</f>
        <v>7.21065</v>
      </c>
      <c r="R26" s="13" cm="1">
        <f t="array" ref="R26">9.2*0.79</f>
        <v>7.268</v>
      </c>
      <c r="S26" s="13" cm="1">
        <f t="array" ref="S26">8.6*0.786</f>
        <v>6.7596</v>
      </c>
      <c r="T26" s="13" cm="1">
        <f t="array" ref="T26">8.5*0.79</f>
        <v>6.715</v>
      </c>
      <c r="U26" s="13" cm="1">
        <f t="array" ref="U26">1.8*4</f>
        <v>7.2</v>
      </c>
      <c r="V26" s="13">
        <v>5.6</v>
      </c>
      <c r="W26" s="13">
        <v>6.3</v>
      </c>
      <c r="X26" s="13" cm="1">
        <f t="array" ref="X26">6.99/81.1*75.9</f>
        <v>6.54181257706535</v>
      </c>
      <c r="Y26" s="13">
        <v>6.6</v>
      </c>
      <c r="Z26" s="13" cm="1">
        <f t="array" ref="Z26">7.7*0.71</f>
        <v>5.467</v>
      </c>
      <c r="AA26" s="13" cm="1">
        <f t="array" ref="AA26">13.1*0.71</f>
        <v>9.301</v>
      </c>
      <c r="AB26" s="13">
        <v>5.9</v>
      </c>
      <c r="AC26" s="13" cm="1">
        <f t="array" ref="AC26">8.2*0.75</f>
        <v>6.15</v>
      </c>
      <c r="AD26" s="13" cm="1">
        <f t="array" ref="AD26">8.1*0.78</f>
        <v>6.318</v>
      </c>
      <c r="AE26" s="13">
        <v>7.1</v>
      </c>
      <c r="AF26" s="13" cm="1">
        <f t="array" ref="AF26">8.7*0.73</f>
        <v>6.351</v>
      </c>
      <c r="AG26" s="13">
        <v>6.1</v>
      </c>
      <c r="AH26" s="13" cm="1">
        <f t="array" ref="AH26">8.5*0.73</f>
        <v>6.205</v>
      </c>
      <c r="AI26" s="13">
        <v>2.9</v>
      </c>
      <c r="AJ26" s="13">
        <v>5.6</v>
      </c>
      <c r="AK26" s="13" cm="1">
        <f t="array" ref="AK26">8.1*0.7</f>
        <v>5.67</v>
      </c>
      <c r="AL26" s="13">
        <v>5.8</v>
      </c>
      <c r="AM26" s="13" cm="1">
        <f t="array" ref="AM26">7.8*0.695</f>
        <v>5.421</v>
      </c>
      <c r="AN26" s="13"/>
      <c r="AO26" s="13"/>
      <c r="AP26" s="13"/>
      <c r="AQ26" s="13" cm="1">
        <f t="array" ref="AQ26">7.8*0.695</f>
        <v>5.421</v>
      </c>
      <c r="AR26" s="13" cm="1">
        <f t="array" ref="AR26">7.6*0.683</f>
        <v>5.1908</v>
      </c>
      <c r="AS26" s="13" cm="1">
        <f t="array" ref="AS26">7*0.71</f>
        <v>4.97</v>
      </c>
      <c r="AT26" s="13"/>
      <c r="AU26" s="13"/>
    </row>
    <row r="27" ht="20.05" customHeight="1">
      <c r="A27" t="s" s="31">
        <v>209</v>
      </c>
      <c r="B27" s="12">
        <v>5.3</v>
      </c>
      <c r="C27" s="13" cm="1">
        <f t="array" ref="C27">5.8*0.804</f>
        <v>4.6632</v>
      </c>
      <c r="D27" s="13" cm="1">
        <f t="array" ref="D27">5.3*0.79</f>
        <v>4.187</v>
      </c>
      <c r="E27" s="13">
        <v>3.92</v>
      </c>
      <c r="F27" s="13" cm="1">
        <f t="array" ref="F27">5.7*0.784</f>
        <v>4.4688</v>
      </c>
      <c r="G27" s="13" cm="1">
        <f t="array" ref="G27">7.7*0.827</f>
        <v>6.3679</v>
      </c>
      <c r="H27" s="13" cm="1">
        <f t="array" ref="H27">5.6*0.77</f>
        <v>4.312</v>
      </c>
      <c r="I27" s="13" cm="1">
        <f t="array" ref="I27">4.5*0.847</f>
        <v>3.8115</v>
      </c>
      <c r="J27" s="13">
        <v>3.7</v>
      </c>
      <c r="K27" s="13" cm="1">
        <f t="array" ref="K27">4.9*0.82</f>
        <v>4.018</v>
      </c>
      <c r="L27" s="13" cm="1">
        <f t="array" ref="L27">5.07*0.82</f>
        <v>4.1574</v>
      </c>
      <c r="M27" s="13">
        <v>4.1</v>
      </c>
      <c r="N27" s="13">
        <v>3.8</v>
      </c>
      <c r="O27" s="13" cm="1">
        <f t="array" ref="O27">4.7*0.81</f>
        <v>3.807</v>
      </c>
      <c r="P27" s="13">
        <v>5</v>
      </c>
      <c r="Q27" s="13" cm="1">
        <f t="array" ref="Q27">5.07*0.795</f>
        <v>4.03065</v>
      </c>
      <c r="R27" s="13" cm="1">
        <f t="array" ref="R27">4.9*0.79</f>
        <v>3.871</v>
      </c>
      <c r="S27" s="13" cm="1">
        <f t="array" ref="S27">4.2*0.786</f>
        <v>3.3012</v>
      </c>
      <c r="T27" s="13" cm="1">
        <f t="array" ref="T27">4.6*0.79</f>
        <v>3.634</v>
      </c>
      <c r="U27" s="13" cm="1">
        <f t="array" ref="U27">1*4</f>
        <v>4</v>
      </c>
      <c r="V27" s="13">
        <v>3.1</v>
      </c>
      <c r="W27" s="13">
        <v>3.2</v>
      </c>
      <c r="X27" s="13" cm="1">
        <f t="array" ref="X27">4.45/81.1*75.9</f>
        <v>4.16467324290999</v>
      </c>
      <c r="Y27" s="13">
        <v>3.6</v>
      </c>
      <c r="Z27" s="13" cm="1">
        <f t="array" ref="Z27">7.7*0.71</f>
        <v>5.467</v>
      </c>
      <c r="AA27" s="13" cm="1">
        <f t="array" ref="AA27">6.6*0.71</f>
        <v>4.686</v>
      </c>
      <c r="AB27" s="13">
        <v>3.8</v>
      </c>
      <c r="AC27" s="13" cm="1">
        <f t="array" ref="AC27">4.7*0.75</f>
        <v>3.525</v>
      </c>
      <c r="AD27" s="13" cm="1">
        <f t="array" ref="AD27">4.5*0.78</f>
        <v>3.51</v>
      </c>
      <c r="AE27" s="13">
        <v>3.5</v>
      </c>
      <c r="AF27" s="13" cm="1">
        <f t="array" ref="AF27">4.7*0.73</f>
        <v>3.431</v>
      </c>
      <c r="AG27" s="13">
        <v>3.4</v>
      </c>
      <c r="AH27" s="13" cm="1">
        <f t="array" ref="AH27">4.5*0.73</f>
        <v>3.285</v>
      </c>
      <c r="AI27" s="13">
        <v>3.1</v>
      </c>
      <c r="AJ27" s="13">
        <v>3.2</v>
      </c>
      <c r="AK27" s="13" cm="1">
        <f t="array" ref="AK27">4.5*0.7</f>
        <v>3.15</v>
      </c>
      <c r="AL27" s="13">
        <v>3.2</v>
      </c>
      <c r="AM27" s="13" cm="1">
        <f t="array" ref="AM27">4.2*0.695</f>
        <v>2.919</v>
      </c>
      <c r="AN27" s="13"/>
      <c r="AO27" s="13"/>
      <c r="AP27" s="13"/>
      <c r="AQ27" s="13">
        <v>3</v>
      </c>
      <c r="AR27" s="13" cm="1">
        <f t="array" ref="AR27">4.2*0.683</f>
        <v>2.8686</v>
      </c>
      <c r="AS27" s="13" cm="1">
        <f t="array" ref="AS27">3.43*0.71</f>
        <v>2.4353</v>
      </c>
      <c r="AT27" s="13"/>
      <c r="AU27" s="13"/>
    </row>
    <row r="28" ht="20.05" customHeight="1">
      <c r="A28" t="s" s="31">
        <v>210</v>
      </c>
      <c r="B28" s="12">
        <v>5.6</v>
      </c>
      <c r="C28" s="13" cm="1">
        <f t="array" ref="C28">6*0.804</f>
        <v>4.824</v>
      </c>
      <c r="D28" s="13" cm="1">
        <f t="array" ref="D28">6*0.79</f>
        <v>4.74</v>
      </c>
      <c r="E28" s="13">
        <v>4.01</v>
      </c>
      <c r="F28" s="13" cm="1">
        <f t="array" ref="F28">5.7*0.784</f>
        <v>4.4688</v>
      </c>
      <c r="G28" s="13" cm="1">
        <f t="array" ref="G28">8.2*0.827</f>
        <v>6.7814</v>
      </c>
      <c r="H28" s="13" cm="1">
        <f t="array" ref="H28">9.3*0.77</f>
        <v>7.161</v>
      </c>
      <c r="I28" s="13" cm="1">
        <f t="array" ref="I28">6.2*0.847</f>
        <v>5.2514</v>
      </c>
      <c r="J28" s="13">
        <v>4</v>
      </c>
      <c r="K28" s="13" cm="1">
        <f t="array" ref="K28">5*0.82</f>
        <v>4.1</v>
      </c>
      <c r="L28" s="13" cm="1">
        <f t="array" ref="L28">5.45*0.82</f>
        <v>4.469</v>
      </c>
      <c r="M28" s="13">
        <v>4.1</v>
      </c>
      <c r="N28" s="13">
        <v>4.1</v>
      </c>
      <c r="O28" s="13" cm="1">
        <f t="array" ref="O28">5.2*0.81</f>
        <v>4.212</v>
      </c>
      <c r="P28" s="13">
        <v>5.2</v>
      </c>
      <c r="Q28" s="13" cm="1">
        <f t="array" ref="Q28">5.45*0.795</f>
        <v>4.33275</v>
      </c>
      <c r="R28" s="13" cm="1">
        <f t="array" ref="R28">5.3*0.79</f>
        <v>4.187</v>
      </c>
      <c r="S28" s="13" cm="1">
        <f t="array" ref="S28">6.1*0.786</f>
        <v>4.7946</v>
      </c>
      <c r="T28" s="13" cm="1">
        <f t="array" ref="T28">7.9*0.79</f>
        <v>6.241</v>
      </c>
      <c r="U28" s="13" cm="1">
        <f t="array" ref="U28">1*4</f>
        <v>4</v>
      </c>
      <c r="V28" s="13">
        <v>4.4</v>
      </c>
      <c r="W28" s="13">
        <v>3.7</v>
      </c>
      <c r="X28" s="13" cm="1">
        <f t="array" ref="X28">5.03/81.1*75.9</f>
        <v>4.70748458692972</v>
      </c>
      <c r="Y28" s="13">
        <v>3.9</v>
      </c>
      <c r="Z28" s="13" cm="1">
        <f t="array" ref="Z28">4.7*0.71</f>
        <v>3.337</v>
      </c>
      <c r="AA28" s="13" cm="1">
        <f t="array" ref="AA28">8*0.71</f>
        <v>5.68</v>
      </c>
      <c r="AB28" s="13">
        <v>3.8</v>
      </c>
      <c r="AC28" s="13" cm="1">
        <f t="array" ref="AC28">5*0.75</f>
        <v>3.75</v>
      </c>
      <c r="AD28" s="13" cm="1">
        <f t="array" ref="AD28">4.7*0.78</f>
        <v>3.666</v>
      </c>
      <c r="AE28" s="13">
        <v>4.5</v>
      </c>
      <c r="AF28" s="13" cm="1">
        <f t="array" ref="AF28">5.2*0.73</f>
        <v>3.796</v>
      </c>
      <c r="AG28" s="13">
        <v>4</v>
      </c>
      <c r="AH28" s="13" cm="1">
        <f t="array" ref="AH28">5.2*0.73</f>
        <v>3.796</v>
      </c>
      <c r="AI28" s="13">
        <v>4.4</v>
      </c>
      <c r="AJ28" s="13">
        <v>3.2</v>
      </c>
      <c r="AK28" s="13" cm="1">
        <f t="array" ref="AK28">6.5*0.7</f>
        <v>4.55</v>
      </c>
      <c r="AL28" s="13">
        <v>3.3</v>
      </c>
      <c r="AM28" s="13" cm="1">
        <f t="array" ref="AM28">5.3*0.695</f>
        <v>3.6835</v>
      </c>
      <c r="AN28" s="13"/>
      <c r="AO28" s="13"/>
      <c r="AP28" s="13"/>
      <c r="AQ28" s="13">
        <v>3.2</v>
      </c>
      <c r="AR28" s="13" cm="1">
        <f t="array" ref="AR28">5.3*0.683</f>
        <v>3.6199</v>
      </c>
      <c r="AS28" s="13" cm="1">
        <f t="array" ref="AS28">4*0.71</f>
        <v>2.84</v>
      </c>
      <c r="AT28" s="13"/>
      <c r="AU28" s="13"/>
    </row>
    <row r="29" ht="20.05" customHeight="1">
      <c r="A29" t="s" s="9">
        <v>211</v>
      </c>
      <c r="B29" s="32" cm="1">
        <f t="array" ref="B29">SUM(B26:B28)</f>
        <v>20.9</v>
      </c>
      <c r="C29" s="33" cm="1">
        <f t="array" ref="C29">SUM(C26:C28)</f>
        <v>17.5272</v>
      </c>
      <c r="D29" s="33" cm="1">
        <f t="array" ref="D29">SUM(D26:D28)</f>
        <v>18.17</v>
      </c>
      <c r="E29" s="33" cm="1">
        <f t="array" ref="E29">SUM(E26:E28)</f>
        <v>17.93</v>
      </c>
      <c r="F29" s="33" cm="1">
        <f t="array" ref="F29">SUM(F26:F28)</f>
        <v>17.7184</v>
      </c>
      <c r="G29" s="33" cm="1">
        <f t="array" ref="G29">SUM(G26:G28)</f>
        <v>24.8927</v>
      </c>
      <c r="H29" s="33" cm="1">
        <f t="array" ref="H29">SUM(H26:H28)</f>
        <v>23.947</v>
      </c>
      <c r="I29" s="33" cm="1">
        <f t="array" ref="I29">SUM(I26:I28)</f>
        <v>16.1777</v>
      </c>
      <c r="J29" s="33" cm="1">
        <f t="array" ref="J29">SUM(J26:J28)</f>
        <v>14.4</v>
      </c>
      <c r="K29" s="33" cm="1">
        <f t="array" ref="K29">SUM(K26:K28)</f>
        <v>14.924</v>
      </c>
      <c r="L29" s="33" cm="1">
        <f t="array" ref="L29">SUM(L26:L28)</f>
        <v>16.0638</v>
      </c>
      <c r="M29" s="33" cm="1">
        <f t="array" ref="M29">SUM(M26:M28)</f>
        <v>15</v>
      </c>
      <c r="N29" s="33" cm="1">
        <f t="array" ref="N29">SUM(N26:N28)</f>
        <v>14.5</v>
      </c>
      <c r="O29" s="33" cm="1">
        <f t="array" ref="O29">SUM(O26:O28)</f>
        <v>14.904</v>
      </c>
      <c r="P29" s="33" cm="1">
        <f t="array" ref="P29">SUM(P26:P28)</f>
        <v>20.4</v>
      </c>
      <c r="Q29" s="33" cm="1">
        <f t="array" ref="Q29">SUM(Q26:Q28)</f>
        <v>15.57405</v>
      </c>
      <c r="R29" s="33" cm="1">
        <f t="array" ref="R29">SUM(R26:R28)</f>
        <v>15.326</v>
      </c>
      <c r="S29" s="33" cm="1">
        <f t="array" ref="S29">SUM(S26:S28)</f>
        <v>14.8554</v>
      </c>
      <c r="T29" s="33" cm="1">
        <f t="array" ref="T29">SUM(T26:T28)</f>
        <v>16.59</v>
      </c>
      <c r="U29" s="33" cm="1">
        <f t="array" ref="U29">SUM(U26:U28)</f>
        <v>15.2</v>
      </c>
      <c r="V29" s="33" cm="1">
        <f t="array" ref="V29">SUM(V26:V28)</f>
        <v>13.1</v>
      </c>
      <c r="W29" s="33" cm="1">
        <f t="array" ref="W29">SUM(W26:W28)</f>
        <v>13.2</v>
      </c>
      <c r="X29" s="33" cm="1">
        <f t="array" ref="X29">SUM(X26:X28)</f>
        <v>15.4139704069051</v>
      </c>
      <c r="Y29" s="33" cm="1">
        <f t="array" ref="Y29">SUM(Y26:Y28)</f>
        <v>14.1</v>
      </c>
      <c r="Z29" s="33" cm="1">
        <f t="array" ref="Z29">SUM(Z26:Z28)</f>
        <v>14.271</v>
      </c>
      <c r="AA29" s="33" cm="1">
        <f t="array" ref="AA29">SUM(AA26:AA28)</f>
        <v>19.667</v>
      </c>
      <c r="AB29" s="33" cm="1">
        <f t="array" ref="AB29">SUM(AB26:AB28)</f>
        <v>13.5</v>
      </c>
      <c r="AC29" s="33" cm="1">
        <f t="array" ref="AC29">SUM(AC26:AC28)</f>
        <v>13.425</v>
      </c>
      <c r="AD29" s="33" cm="1">
        <f t="array" ref="AD29">SUM(AD26:AD28)</f>
        <v>13.494</v>
      </c>
      <c r="AE29" s="33" cm="1">
        <f t="array" ref="AE29">SUM(AE26:AE28)</f>
        <v>15.1</v>
      </c>
      <c r="AF29" s="33" cm="1">
        <f t="array" ref="AF29">SUM(AF26:AF28)</f>
        <v>13.578</v>
      </c>
      <c r="AG29" s="33" cm="1">
        <f t="array" ref="AG29">SUM(AG26:AG28)</f>
        <v>13.5</v>
      </c>
      <c r="AH29" s="33" cm="1">
        <f t="array" ref="AH29">SUM(AH26:AH28)</f>
        <v>13.286</v>
      </c>
      <c r="AI29" s="33" cm="1">
        <f t="array" ref="AI29">SUM(AI26:AI28)</f>
        <v>10.4</v>
      </c>
      <c r="AJ29" s="33" cm="1">
        <f t="array" ref="AJ29">SUM(AJ26:AJ28)</f>
        <v>12</v>
      </c>
      <c r="AK29" s="33" cm="1">
        <f t="array" ref="AK29">SUM(AK26:AK28)</f>
        <v>13.37</v>
      </c>
      <c r="AL29" s="33" cm="1">
        <f t="array" ref="AL29">SUM(AL26:AL28)</f>
        <v>12.3</v>
      </c>
      <c r="AM29" s="33" cm="1">
        <f t="array" ref="AM29">SUM(AM26:AM28)</f>
        <v>12.0235</v>
      </c>
      <c r="AN29" s="33" cm="1">
        <f t="array" ref="AN29">SUM(AN26:AN28)</f>
        <v>0</v>
      </c>
      <c r="AO29" s="33" cm="1">
        <f t="array" ref="AO29">SUM(AO26:AO28)</f>
        <v>0</v>
      </c>
      <c r="AP29" s="33" cm="1">
        <f t="array" ref="AP29">SUM(AP26:AP28)</f>
        <v>0</v>
      </c>
      <c r="AQ29" s="33" cm="1">
        <f t="array" ref="AQ29">SUM(AQ26:AQ28)</f>
        <v>11.621</v>
      </c>
      <c r="AR29" s="33" cm="1">
        <f t="array" ref="AR29">SUM(AR26:AR28)</f>
        <v>11.6793</v>
      </c>
      <c r="AS29" s="33" cm="1">
        <f t="array" ref="AS29">SUM(AS26:AS28)</f>
        <v>10.2453</v>
      </c>
      <c r="AT29" s="33" cm="1">
        <f t="array" ref="AT29">SUM(AT26:AT28)</f>
        <v>0</v>
      </c>
      <c r="AU29" s="33" cm="1">
        <f t="array" ref="AU29">SUM(AU26:AU28)</f>
        <v>0</v>
      </c>
    </row>
    <row r="30" ht="20.05" customHeight="1">
      <c r="A30" t="s" s="31">
        <v>212</v>
      </c>
      <c r="B30" s="12">
        <v>7.1</v>
      </c>
      <c r="C30" s="13" cm="1">
        <f t="array" ref="C30">7.9*0.804</f>
        <v>6.3516</v>
      </c>
      <c r="D30" s="13" cm="1">
        <f t="array" ref="D30">9.4*0.79</f>
        <v>7.426</v>
      </c>
      <c r="E30" s="13">
        <v>5.01</v>
      </c>
      <c r="F30" s="13" cm="1">
        <f t="array" ref="F30">8.8*0.784</f>
        <v>6.8992</v>
      </c>
      <c r="G30" s="13" cm="1">
        <f t="array" ref="G30">5.1*0.827</f>
        <v>4.2177</v>
      </c>
      <c r="H30" s="13" cm="1">
        <f t="array" ref="H30">6.1*0.77</f>
        <v>4.697</v>
      </c>
      <c r="I30" s="13" cm="1">
        <f t="array" ref="I30">3.4*0.847</f>
        <v>2.8798</v>
      </c>
      <c r="J30" s="13">
        <v>5.6</v>
      </c>
      <c r="K30" s="13" cm="1">
        <f t="array" ref="K30">6.4*0.82</f>
        <v>5.248</v>
      </c>
      <c r="L30" s="13" cm="1">
        <f t="array" ref="L30">7.93*0.82</f>
        <v>6.5026</v>
      </c>
      <c r="M30" s="13">
        <v>5.4</v>
      </c>
      <c r="N30" s="13">
        <v>5.9</v>
      </c>
      <c r="O30" s="13" cm="1">
        <f t="array" ref="O30">7.1*0.81</f>
        <v>5.751</v>
      </c>
      <c r="P30" s="13">
        <v>4.8</v>
      </c>
      <c r="Q30" s="13" cm="1">
        <f t="array" ref="Q30">7.93*0.795</f>
        <v>6.30435</v>
      </c>
      <c r="R30" s="13" cm="1">
        <f t="array" ref="R30">10.9*0.79</f>
        <v>8.611000000000001</v>
      </c>
      <c r="S30" s="13" cm="1">
        <f t="array" ref="S30">5.4*0.786</f>
        <v>4.2444</v>
      </c>
      <c r="T30" s="13" cm="1">
        <f t="array" ref="T30">6*0.79</f>
        <v>4.74</v>
      </c>
      <c r="U30" s="13" cm="1">
        <f t="array" ref="U30">1.5*4</f>
        <v>6</v>
      </c>
      <c r="V30" s="13">
        <v>2.5</v>
      </c>
      <c r="W30" s="13">
        <v>3.5</v>
      </c>
      <c r="X30" s="13" cm="1">
        <f t="array" ref="X30">7.6/81.1*75.9</f>
        <v>7.11270036991369</v>
      </c>
      <c r="Y30" s="13">
        <v>5</v>
      </c>
      <c r="Z30" s="13" cm="1">
        <f t="array" ref="Z30">7.2*0.71</f>
        <v>5.112</v>
      </c>
      <c r="AA30" s="13" cm="1">
        <f t="array" ref="AA30">5.1*0.71</f>
        <v>3.621</v>
      </c>
      <c r="AB30" s="13">
        <v>4.9</v>
      </c>
      <c r="AC30" s="13" cm="1">
        <f t="array" ref="AC30">6.8*0.75</f>
        <v>5.1</v>
      </c>
      <c r="AD30" s="13" cm="1">
        <f t="array" ref="AD30">6.6*0.78</f>
        <v>5.148</v>
      </c>
      <c r="AE30" s="13">
        <v>4.2</v>
      </c>
      <c r="AF30" s="13" cm="1">
        <f t="array" ref="AF30">7.3*0.73</f>
        <v>5.329</v>
      </c>
      <c r="AG30" s="13">
        <v>5</v>
      </c>
      <c r="AH30" s="13" cm="1">
        <f t="array" ref="AH30">6.9*0.73</f>
        <v>5.037</v>
      </c>
      <c r="AI30" s="13">
        <v>2.6</v>
      </c>
      <c r="AJ30" s="13">
        <v>4.3</v>
      </c>
      <c r="AK30" s="13" cm="1">
        <f t="array" ref="AK30">6.1*0.7</f>
        <v>4.27</v>
      </c>
      <c r="AL30" s="13">
        <v>4.3</v>
      </c>
      <c r="AM30" s="13" cm="1">
        <f t="array" ref="AM30">3.5*0.695</f>
        <v>2.4325</v>
      </c>
      <c r="AN30" s="13"/>
      <c r="AO30" s="13"/>
      <c r="AP30" s="13"/>
      <c r="AQ30" s="13">
        <v>4.3</v>
      </c>
      <c r="AR30" s="13" cm="1">
        <f t="array" ref="AR30">3.6*0.683</f>
        <v>2.4588</v>
      </c>
      <c r="AS30" s="13" cm="1">
        <f t="array" ref="AS30">6.29*0.71</f>
        <v>4.4659</v>
      </c>
      <c r="AT30" s="13"/>
      <c r="AU30" s="13"/>
    </row>
    <row r="31" ht="20.05" customHeight="1">
      <c r="A31" t="s" s="31">
        <v>213</v>
      </c>
      <c r="B31" s="12">
        <v>3.3</v>
      </c>
      <c r="C31" s="13" cm="1">
        <f t="array" ref="C31">3.3*0.804</f>
        <v>2.6532</v>
      </c>
      <c r="D31" s="13" cm="1">
        <f t="array" ref="D31">4.3*0.79</f>
        <v>3.397</v>
      </c>
      <c r="E31" s="13">
        <v>1.09</v>
      </c>
      <c r="F31" s="13" cm="1">
        <f t="array" ref="F31">2.6*0.784</f>
        <v>2.0384</v>
      </c>
      <c r="G31" s="13" cm="1">
        <f t="array" ref="G31">6.4*0.827</f>
        <v>5.2928</v>
      </c>
      <c r="H31" s="13" cm="1">
        <f t="array" ref="H31">2.6*0.77</f>
        <v>2.002</v>
      </c>
      <c r="I31" s="13" cm="1">
        <f t="array" ref="I31">3.6*0.847</f>
        <v>3.0492</v>
      </c>
      <c r="J31" s="13">
        <v>3.1</v>
      </c>
      <c r="K31" s="13" cm="1">
        <f t="array" ref="K31">3.8*0.82</f>
        <v>3.116</v>
      </c>
      <c r="L31" s="13" cm="1">
        <f t="array" ref="L31">3.78*0.82</f>
        <v>3.0996</v>
      </c>
      <c r="M31" s="13">
        <v>3.2</v>
      </c>
      <c r="N31" s="13">
        <v>2.9</v>
      </c>
      <c r="O31" s="13" cm="1">
        <f t="array" ref="O31">3.7*0.81</f>
        <v>2.997</v>
      </c>
      <c r="P31" s="13">
        <v>2.7</v>
      </c>
      <c r="Q31" s="13" cm="1">
        <f t="array" ref="Q31">3.78*0.795</f>
        <v>3.0051</v>
      </c>
      <c r="R31" s="13" cm="1">
        <f t="array" ref="R31">8.6*0.79</f>
        <v>6.794</v>
      </c>
      <c r="S31" s="13" cm="1">
        <f t="array" ref="S31">3*0.786</f>
        <v>2.358</v>
      </c>
      <c r="T31" s="13" cm="1">
        <f t="array" ref="T31">3.6*0.79</f>
        <v>2.844</v>
      </c>
      <c r="U31" s="13" cm="1">
        <f t="array" ref="U31">0.8*4</f>
        <v>3.2</v>
      </c>
      <c r="V31" s="13">
        <v>2.9</v>
      </c>
      <c r="W31" s="13">
        <v>2.4</v>
      </c>
      <c r="X31" s="13" cm="1">
        <f t="array" ref="X31">4.56/81.1*75.9</f>
        <v>4.26762022194821</v>
      </c>
      <c r="Y31" s="13">
        <v>2.8</v>
      </c>
      <c r="Z31" s="13" cm="1">
        <f t="array" ref="Z31">3.3*0.71</f>
        <v>2.343</v>
      </c>
      <c r="AA31" s="13" cm="1">
        <f t="array" ref="AA31">3*0.71</f>
        <v>2.13</v>
      </c>
      <c r="AB31" s="13">
        <v>2.9</v>
      </c>
      <c r="AC31" s="13" cm="1">
        <f t="array" ref="AC31">3.8*0.75</f>
        <v>2.85</v>
      </c>
      <c r="AD31" s="13" cm="1">
        <f t="array" ref="AD31">4*0.78</f>
        <v>3.12</v>
      </c>
      <c r="AE31" s="13">
        <v>2.7</v>
      </c>
      <c r="AF31" s="13" cm="1">
        <f t="array" ref="AF31">3.7*0.73</f>
        <v>2.701</v>
      </c>
      <c r="AG31" s="13">
        <v>2.6</v>
      </c>
      <c r="AH31" s="13" cm="1">
        <f t="array" ref="AH31">3.9*0.73</f>
        <v>2.847</v>
      </c>
      <c r="AI31" s="13">
        <v>2.9</v>
      </c>
      <c r="AJ31" s="13">
        <v>2.6</v>
      </c>
      <c r="AK31" s="13" cm="1">
        <f t="array" ref="AK31">3.4*0.7</f>
        <v>2.38</v>
      </c>
      <c r="AL31" s="13">
        <v>2.6</v>
      </c>
      <c r="AM31" s="13" cm="1">
        <f t="array" ref="AM31">3.2*0.695</f>
        <v>2.224</v>
      </c>
      <c r="AN31" s="13"/>
      <c r="AO31" s="13"/>
      <c r="AP31" s="13"/>
      <c r="AQ31" s="13">
        <v>2.5</v>
      </c>
      <c r="AR31" s="13" cm="1">
        <f t="array" ref="AR31">3.1*0.683</f>
        <v>2.1173</v>
      </c>
      <c r="AS31" s="13" cm="1">
        <f t="array" ref="AS31">3*0.71</f>
        <v>2.13</v>
      </c>
      <c r="AT31" s="13"/>
      <c r="AU31" s="13"/>
    </row>
    <row r="32" ht="20.05" customHeight="1">
      <c r="A32" t="s" s="31">
        <v>214</v>
      </c>
      <c r="B32" s="12">
        <v>3.4</v>
      </c>
      <c r="C32" s="13" cm="1">
        <f t="array" ref="C32">4.7</f>
        <v>4.7</v>
      </c>
      <c r="D32" s="13" cm="1">
        <f t="array" ref="D32">4.4*0.79</f>
        <v>3.476</v>
      </c>
      <c r="E32" s="13">
        <v>5.1</v>
      </c>
      <c r="F32" s="13" cm="1">
        <f t="array" ref="F32">4.9*0.784</f>
        <v>3.8416</v>
      </c>
      <c r="G32" s="13" cm="1">
        <f t="array" ref="G32">3.7*0.827</f>
        <v>3.0599</v>
      </c>
      <c r="H32" s="13" cm="1">
        <f t="array" ref="H32">4.4*0.77</f>
        <v>3.388</v>
      </c>
      <c r="I32" s="13" cm="1">
        <f t="array" ref="I32">5.6*0.847</f>
        <v>4.7432</v>
      </c>
      <c r="J32" s="13">
        <v>4.7</v>
      </c>
      <c r="K32" s="13" cm="1">
        <f t="array" ref="K32">5.3*0.82</f>
        <v>4.346</v>
      </c>
      <c r="L32" s="13" cm="1">
        <f t="array" ref="L32">5.96*0.82</f>
        <v>4.8872</v>
      </c>
      <c r="M32" s="13">
        <v>4.6</v>
      </c>
      <c r="N32" s="13">
        <v>4.4</v>
      </c>
      <c r="O32" s="13" cm="1">
        <f t="array" ref="O32">5.4*0.81</f>
        <v>4.374</v>
      </c>
      <c r="P32" s="13">
        <v>3.7</v>
      </c>
      <c r="Q32" s="13" cm="1">
        <f t="array" ref="Q32">5.96*0.795</f>
        <v>4.7382</v>
      </c>
      <c r="R32" s="13" cm="1">
        <f t="array" ref="R32">4.6*0.79</f>
        <v>3.634</v>
      </c>
      <c r="S32" s="13" cm="1">
        <f t="array" ref="S32">5.4*0.786</f>
        <v>4.2444</v>
      </c>
      <c r="T32" s="13" cm="1">
        <f t="array" ref="T32">5.2*0.79</f>
        <v>4.108</v>
      </c>
      <c r="U32" s="13" cm="1">
        <f t="array" ref="U32">1.1*4</f>
        <v>4.4</v>
      </c>
      <c r="V32" s="13">
        <v>4.8</v>
      </c>
      <c r="W32" s="13">
        <v>3.8</v>
      </c>
      <c r="X32" s="13" cm="1">
        <f t="array" ref="X32">4.18/81.1*75.9</f>
        <v>3.91198520345253</v>
      </c>
      <c r="Y32" s="13">
        <v>4</v>
      </c>
      <c r="Z32" s="13" cm="1">
        <f t="array" ref="Z32">4.8*0.71</f>
        <v>3.408</v>
      </c>
      <c r="AA32" s="13" cm="1">
        <f t="array" ref="AA32">4.8*0.71</f>
        <v>3.408</v>
      </c>
      <c r="AB32" s="13">
        <v>3.9</v>
      </c>
      <c r="AC32" s="13" cm="1">
        <f t="array" ref="AC32">5.5*0.75</f>
        <v>4.125</v>
      </c>
      <c r="AD32" s="13" cm="1">
        <f t="array" ref="AD32">5.3*0.78</f>
        <v>4.134</v>
      </c>
      <c r="AE32" s="13">
        <v>3.7</v>
      </c>
      <c r="AF32" s="13" cm="1">
        <f t="array" ref="AF32">5.4*0.73</f>
        <v>3.942</v>
      </c>
      <c r="AG32" s="13" cm="1">
        <f t="array" ref="AG32">5.9*0.702</f>
        <v>4.1418</v>
      </c>
      <c r="AH32" s="13" cm="1">
        <f t="array" ref="AH32">5.6*0.73</f>
        <v>4.088</v>
      </c>
      <c r="AI32" s="13">
        <v>4.8</v>
      </c>
      <c r="AJ32" s="13">
        <v>3.6</v>
      </c>
      <c r="AK32" s="13" cm="1">
        <f t="array" ref="AK32">5*0.7</f>
        <v>3.5</v>
      </c>
      <c r="AL32" s="13">
        <v>3.7</v>
      </c>
      <c r="AM32" s="13" cm="1">
        <f t="array" ref="AM32">5.5*0.695</f>
        <v>3.8225</v>
      </c>
      <c r="AN32" s="13"/>
      <c r="AO32" s="13"/>
      <c r="AP32" s="13"/>
      <c r="AQ32" s="13">
        <v>3.4</v>
      </c>
      <c r="AR32" s="13" cm="1">
        <f t="array" ref="AR32">5.4*0.683</f>
        <v>3.6882</v>
      </c>
      <c r="AS32" s="13" cm="1">
        <f t="array" ref="AS32">4.43*0.71</f>
        <v>3.1453</v>
      </c>
      <c r="AT32" s="13"/>
      <c r="AU32" s="13"/>
    </row>
    <row r="33" ht="20.05" customHeight="1">
      <c r="A33" t="s" s="31">
        <v>215</v>
      </c>
      <c r="B33" s="12">
        <v>2.6</v>
      </c>
      <c r="C33" s="13" cm="1">
        <f t="array" ref="C33">2*0.804</f>
        <v>1.608</v>
      </c>
      <c r="D33" s="13" cm="1">
        <f t="array" ref="D33">2.4*0.79</f>
        <v>1.896</v>
      </c>
      <c r="E33" s="13">
        <v>2.5</v>
      </c>
      <c r="F33" s="13" cm="1">
        <f t="array" ref="F33">2.4*0.784</f>
        <v>1.8816</v>
      </c>
      <c r="G33" s="13" cm="1">
        <f t="array" ref="G33">3.3*0.827</f>
        <v>2.7291</v>
      </c>
      <c r="H33" s="13" cm="1">
        <f t="array" ref="H33">1.3*0.77</f>
        <v>1.001</v>
      </c>
      <c r="I33" s="13" cm="1">
        <f t="array" ref="I33">2.1*0.847</f>
        <v>1.7787</v>
      </c>
      <c r="J33" s="13">
        <v>1.2</v>
      </c>
      <c r="K33" s="13" cm="1">
        <f t="array" ref="K33">1.3*0.82</f>
        <v>1.066</v>
      </c>
      <c r="L33" s="13" cm="1">
        <f t="array" ref="L33">0.67*0.82</f>
        <v>0.5494</v>
      </c>
      <c r="M33" s="13" cm="1">
        <f t="array" ref="M33">1.3*0.75</f>
        <v>0.975</v>
      </c>
      <c r="N33" s="13">
        <v>2.3</v>
      </c>
      <c r="O33" s="13" cm="1">
        <f t="array" ref="O33">1.5*0.81</f>
        <v>1.215</v>
      </c>
      <c r="P33" s="13">
        <v>0.6</v>
      </c>
      <c r="Q33" s="13" cm="1">
        <f t="array" ref="Q33">0.67*0.795</f>
        <v>0.53265</v>
      </c>
      <c r="R33" s="13" cm="1">
        <f t="array" ref="R33">1.4*0.79</f>
        <v>1.106</v>
      </c>
      <c r="S33" s="13" cm="1">
        <f t="array" ref="S33">2.3*0.786</f>
        <v>1.8078</v>
      </c>
      <c r="T33" s="13" cm="1">
        <f t="array" ref="T33">2.4*0.79</f>
        <v>1.896</v>
      </c>
      <c r="U33" s="13" cm="1">
        <f t="array" ref="U33">0.2*4</f>
        <v>0.8</v>
      </c>
      <c r="V33" s="13">
        <v>1.5</v>
      </c>
      <c r="W33" s="13">
        <v>1.2</v>
      </c>
      <c r="X33" s="13" cm="1">
        <f t="array" ref="X33">0.35/81.1*75.9</f>
        <v>0.327558569667078</v>
      </c>
      <c r="Y33" s="13">
        <v>0.9399999999999999</v>
      </c>
      <c r="Z33" s="13" cm="1">
        <f t="array" ref="Z33">2.5*0.71</f>
        <v>1.775</v>
      </c>
      <c r="AA33" s="13" cm="1">
        <f t="array" ref="AA33">1.7*0.71</f>
        <v>1.207</v>
      </c>
      <c r="AB33" s="13">
        <v>1.1</v>
      </c>
      <c r="AC33" s="13" cm="1">
        <f t="array" ref="AC33">1.2*0.75</f>
        <v>0.9</v>
      </c>
      <c r="AD33" s="13" cm="1">
        <f t="array" ref="AD33">1.1*0.78</f>
        <v>0.858</v>
      </c>
      <c r="AE33" s="13">
        <v>1.8</v>
      </c>
      <c r="AF33" s="13" cm="1">
        <f t="array" ref="AF33">1.6*0.73</f>
        <v>1.168</v>
      </c>
      <c r="AG33" s="13">
        <v>0.98</v>
      </c>
      <c r="AH33" s="13" cm="1">
        <f t="array" ref="AH33">1.2*0.73</f>
        <v>0.876</v>
      </c>
      <c r="AI33" s="13">
        <v>1.5</v>
      </c>
      <c r="AJ33" s="13">
        <v>0.9</v>
      </c>
      <c r="AK33" s="13" cm="1">
        <f t="array" ref="AK33">1.2*0.7</f>
        <v>0.84</v>
      </c>
      <c r="AL33" s="13">
        <v>0.8</v>
      </c>
      <c r="AM33" s="13" cm="1">
        <f t="array" ref="AM33">1.6*0.695</f>
        <v>1.112</v>
      </c>
      <c r="AN33" s="13"/>
      <c r="AO33" s="13"/>
      <c r="AP33" s="13"/>
      <c r="AQ33" s="13">
        <v>0.7</v>
      </c>
      <c r="AR33" s="13" cm="1">
        <f t="array" ref="AR33">1.5*0.683</f>
        <v>1.0245</v>
      </c>
      <c r="AS33" s="13" cm="1">
        <f t="array" ref="AS33">0.96*0.71</f>
        <v>0.6816</v>
      </c>
      <c r="AT33" s="13"/>
      <c r="AU33" s="13"/>
    </row>
    <row r="34" ht="20.05" customHeight="1">
      <c r="A34" t="s" s="31">
        <v>216</v>
      </c>
      <c r="B34" s="12">
        <v>1.3</v>
      </c>
      <c r="C34" s="13" cm="1">
        <f t="array" ref="C34">2*0.804</f>
        <v>1.608</v>
      </c>
      <c r="D34" s="13" cm="1">
        <f t="array" ref="D34">1.5*0.79</f>
        <v>1.185</v>
      </c>
      <c r="E34" s="13">
        <v>1.09</v>
      </c>
      <c r="F34" s="13" cm="1">
        <f t="array" ref="F34">1.5*0.784</f>
        <v>1.176</v>
      </c>
      <c r="G34" s="13" cm="1">
        <f t="array" ref="G34">0.8*0.827</f>
        <v>0.6616</v>
      </c>
      <c r="H34" s="13" cm="1">
        <f t="array" ref="H34">3.7*0.77</f>
        <v>2.849</v>
      </c>
      <c r="I34" s="13" cm="1">
        <f t="array" ref="I34">1.4*0.847</f>
        <v>1.1858</v>
      </c>
      <c r="J34" s="13">
        <v>0.9</v>
      </c>
      <c r="K34" s="13" cm="1">
        <f t="array" ref="K34">1.3*0.82</f>
        <v>1.066</v>
      </c>
      <c r="L34" s="13" cm="1">
        <f t="array" ref="L34">1.46*0.82</f>
        <v>1.1972</v>
      </c>
      <c r="M34" s="13">
        <v>0.9</v>
      </c>
      <c r="N34" s="13">
        <v>1.5</v>
      </c>
      <c r="O34" s="13" cm="1">
        <f t="array" ref="O34">1*0.81</f>
        <v>0.8100000000000001</v>
      </c>
      <c r="P34" s="13">
        <v>0.7</v>
      </c>
      <c r="Q34" s="13" cm="1">
        <f t="array" ref="Q34">1.46*0.795</f>
        <v>1.1607</v>
      </c>
      <c r="R34" s="13" cm="1">
        <f t="array" ref="R34">0.8*0.79</f>
        <v>0.632</v>
      </c>
      <c r="S34" s="13" cm="1">
        <f t="array" ref="S34">1.5*0.786</f>
        <v>1.179</v>
      </c>
      <c r="T34" s="13" cm="1">
        <f t="array" ref="T34">0.8*0.79</f>
        <v>0.632</v>
      </c>
      <c r="U34" s="13" cm="1">
        <f t="array" ref="U34">0.2*4</f>
        <v>0.8</v>
      </c>
      <c r="V34" s="13">
        <v>3.3</v>
      </c>
      <c r="W34" s="13">
        <v>1.1</v>
      </c>
      <c r="X34" s="13" cm="1">
        <f t="array" ref="X34">1.24/81.1*75.9</f>
        <v>1.16049321824908</v>
      </c>
      <c r="Y34" s="13">
        <v>0.8</v>
      </c>
      <c r="Z34" s="13" cm="1">
        <f t="array" ref="Z34">1.8*0.71</f>
        <v>1.278</v>
      </c>
      <c r="AA34" s="13" cm="1">
        <f t="array" ref="AA34">1.3*0.71</f>
        <v>0.923</v>
      </c>
      <c r="AB34" s="13">
        <v>1.1</v>
      </c>
      <c r="AC34" s="13" cm="1">
        <f t="array" ref="AC34">1.2*0.75</f>
        <v>0.9</v>
      </c>
      <c r="AD34" s="13" cm="1">
        <f t="array" ref="AD34">1*0.78</f>
        <v>0.78</v>
      </c>
      <c r="AE34" s="13">
        <v>0.71</v>
      </c>
      <c r="AF34" s="13" cm="1">
        <f t="array" ref="AF34">1*0.73</f>
        <v>0.73</v>
      </c>
      <c r="AG34" s="13">
        <v>0.74</v>
      </c>
      <c r="AH34" s="13" cm="1">
        <f t="array" ref="AH34">1*0.73</f>
        <v>0.73</v>
      </c>
      <c r="AI34" s="13">
        <v>1.1</v>
      </c>
      <c r="AJ34" s="13">
        <v>0.8</v>
      </c>
      <c r="AK34" s="13" cm="1">
        <f t="array" ref="AK34">1.1*0.7</f>
        <v>0.77</v>
      </c>
      <c r="AL34" s="13">
        <v>0.7</v>
      </c>
      <c r="AM34" s="13" cm="1">
        <f t="array" ref="AM34">1.3*0.695</f>
        <v>0.9035</v>
      </c>
      <c r="AN34" s="13"/>
      <c r="AO34" s="13"/>
      <c r="AP34" s="13"/>
      <c r="AQ34" s="13">
        <v>0.7</v>
      </c>
      <c r="AR34" s="13" cm="1">
        <f t="array" ref="AR34">1.2*0.683</f>
        <v>0.8196</v>
      </c>
      <c r="AS34" s="13" cm="1">
        <f t="array" ref="AS34">0.97*0.71</f>
        <v>0.6887</v>
      </c>
      <c r="AT34" s="13"/>
      <c r="AU34" s="13"/>
    </row>
    <row r="35" ht="20.05" customHeight="1">
      <c r="A35" t="s" s="31">
        <v>217</v>
      </c>
      <c r="B35" s="12">
        <v>1.6</v>
      </c>
      <c r="C35" s="13" cm="1">
        <f t="array" ref="C35">2.3*0.804</f>
        <v>1.8492</v>
      </c>
      <c r="D35" s="13" cm="1">
        <f t="array" ref="D35">2.2*0.79</f>
        <v>1.738</v>
      </c>
      <c r="E35" s="13">
        <v>2.1</v>
      </c>
      <c r="F35" s="13" cm="1">
        <f t="array" ref="F35">2.1*0.784</f>
        <v>1.6464</v>
      </c>
      <c r="G35" s="13" cm="1">
        <f t="array" ref="G35">2*0.827</f>
        <v>1.654</v>
      </c>
      <c r="H35" s="13" cm="1">
        <f t="array" ref="H35">1.8*0.77</f>
        <v>1.386</v>
      </c>
      <c r="I35" s="13" cm="1">
        <f t="array" ref="I35">2.5*0.847</f>
        <v>2.1175</v>
      </c>
      <c r="J35" s="13">
        <v>2.3</v>
      </c>
      <c r="K35" s="13" cm="1">
        <f t="array" ref="K35">2.6*0.82</f>
        <v>2.132</v>
      </c>
      <c r="L35" s="13" cm="1">
        <f t="array" ref="L35">2.25*0.82</f>
        <v>1.845</v>
      </c>
      <c r="M35" s="13">
        <v>2.3</v>
      </c>
      <c r="N35" s="13">
        <v>3</v>
      </c>
      <c r="O35" s="13" cm="1">
        <f t="array" ref="O35">2.4</f>
        <v>2.4</v>
      </c>
      <c r="P35" s="13">
        <v>1.8</v>
      </c>
      <c r="Q35" s="13" cm="1">
        <f t="array" ref="Q35">2.25*0.795</f>
        <v>1.78875</v>
      </c>
      <c r="R35" s="13" cm="1">
        <f t="array" ref="R35">3.2*0.79</f>
        <v>2.528</v>
      </c>
      <c r="S35" s="13" cm="1">
        <f t="array" ref="S35">2.4*0.786</f>
        <v>1.8864</v>
      </c>
      <c r="T35" s="13" cm="1">
        <f t="array" ref="T35">2.2*0.79</f>
        <v>1.738</v>
      </c>
      <c r="U35" s="13" cm="1">
        <f t="array" ref="U35">0.5*4</f>
        <v>2</v>
      </c>
      <c r="V35" s="13">
        <v>1.7</v>
      </c>
      <c r="W35" s="13">
        <v>2.1</v>
      </c>
      <c r="X35" s="13" cm="1">
        <f t="array" ref="X35">2.16/81.1*75.9</f>
        <v>2.02150431565968</v>
      </c>
      <c r="Y35" s="13">
        <v>3.8</v>
      </c>
      <c r="Z35" s="13" cm="1">
        <f t="array" ref="Z35">2.3*0.71</f>
        <v>1.633</v>
      </c>
      <c r="AA35" s="13" cm="1">
        <f t="array" ref="AA35">2.1*0.71</f>
        <v>1.491</v>
      </c>
      <c r="AB35" s="13">
        <v>1.8</v>
      </c>
      <c r="AC35" s="13" cm="1">
        <f t="array" ref="AC35">2.6*0.75</f>
        <v>1.95</v>
      </c>
      <c r="AD35" s="13" cm="1">
        <f t="array" ref="AD35">2.8*0.78</f>
        <v>2.184</v>
      </c>
      <c r="AE35" s="13">
        <v>1.6</v>
      </c>
      <c r="AF35" s="13" cm="1">
        <f t="array" ref="AF35">2.3*0.73</f>
        <v>1.679</v>
      </c>
      <c r="AG35" s="13">
        <v>1.8</v>
      </c>
      <c r="AH35" s="13" cm="1">
        <f t="array" ref="AH35">2.5*0.73</f>
        <v>1.825</v>
      </c>
      <c r="AI35" s="13">
        <v>1.7</v>
      </c>
      <c r="AJ35" s="13">
        <v>1.8</v>
      </c>
      <c r="AK35" s="13" cm="1">
        <f t="array" ref="AK35">2.3*0.7</f>
        <v>1.61</v>
      </c>
      <c r="AL35" s="13">
        <v>1.8</v>
      </c>
      <c r="AM35" s="13" cm="1">
        <f t="array" ref="AM35">2.5*0.695</f>
        <v>1.7375</v>
      </c>
      <c r="AN35" s="13"/>
      <c r="AO35" s="13"/>
      <c r="AP35" s="13"/>
      <c r="AQ35" s="13">
        <v>1.7</v>
      </c>
      <c r="AR35" s="13" cm="1">
        <f t="array" ref="AR35">2.5*0.683</f>
        <v>1.7075</v>
      </c>
      <c r="AS35" s="13" cm="1">
        <f t="array" ref="AS35">2.14*0.71</f>
        <v>1.5194</v>
      </c>
      <c r="AT35" s="13"/>
      <c r="AU35" s="13"/>
    </row>
    <row r="36" ht="20.05" customHeight="1">
      <c r="A36" t="s" s="9">
        <v>218</v>
      </c>
      <c r="B36" s="32" cm="1">
        <f t="array" ref="B36">SUM(B29:B35)</f>
        <v>40.2</v>
      </c>
      <c r="C36" s="33" cm="1">
        <f t="array" ref="C36">SUM(C29:C35)</f>
        <v>36.2972</v>
      </c>
      <c r="D36" s="33" cm="1">
        <f t="array" ref="D36">SUM(D29:D35)</f>
        <v>37.288</v>
      </c>
      <c r="E36" s="33" cm="1">
        <f t="array" ref="E36">SUM(E29:E35)</f>
        <v>34.82</v>
      </c>
      <c r="F36" s="33" cm="1">
        <f t="array" ref="F36">SUM(F29:F35)</f>
        <v>35.2016</v>
      </c>
      <c r="G36" s="33" cm="1">
        <f t="array" ref="G36">SUM(G29:G35)</f>
        <v>42.5078</v>
      </c>
      <c r="H36" s="33" cm="1">
        <f t="array" ref="H36">SUM(H29:H35)</f>
        <v>39.27</v>
      </c>
      <c r="I36" s="33" cm="1">
        <f t="array" ref="I36">SUM(I29:I35)</f>
        <v>31.9319</v>
      </c>
      <c r="J36" s="33" cm="1">
        <f t="array" ref="J36">SUM(J29:J35)</f>
        <v>32.2</v>
      </c>
      <c r="K36" s="33" cm="1">
        <f t="array" ref="K36">SUM(K29:K35)</f>
        <v>31.898</v>
      </c>
      <c r="L36" s="33" cm="1">
        <f t="array" ref="L36">SUM(L29:L35)</f>
        <v>34.1448</v>
      </c>
      <c r="M36" s="33" cm="1">
        <f t="array" ref="M36">SUM(M29:M35)</f>
        <v>32.375</v>
      </c>
      <c r="N36" s="33" cm="1">
        <f t="array" ref="N36">SUM(N29:N35)</f>
        <v>34.5</v>
      </c>
      <c r="O36" s="33" cm="1">
        <f t="array" ref="O36">SUM(O29:O35)</f>
        <v>32.451</v>
      </c>
      <c r="P36" s="33" cm="1">
        <f t="array" ref="P36">SUM(P29:P35)</f>
        <v>34.7</v>
      </c>
      <c r="Q36" s="33" cm="1">
        <f t="array" ref="Q36">SUM(Q29:Q35)</f>
        <v>33.1038</v>
      </c>
      <c r="R36" s="33" cm="1">
        <f t="array" ref="R36">SUM(R29:R35)</f>
        <v>38.631</v>
      </c>
      <c r="S36" s="33" cm="1">
        <f t="array" ref="S36">SUM(S29:S35)</f>
        <v>30.5754</v>
      </c>
      <c r="T36" s="33" cm="1">
        <f t="array" ref="T36">SUM(T29:T35)</f>
        <v>32.548</v>
      </c>
      <c r="U36" s="33" cm="1">
        <f t="array" ref="U36">SUM(U29:U35)</f>
        <v>32.4</v>
      </c>
      <c r="V36" s="33" cm="1">
        <f t="array" ref="V36">SUM(V29:V35)</f>
        <v>29.8</v>
      </c>
      <c r="W36" s="33" cm="1">
        <f t="array" ref="W36">SUM(W29:W35)</f>
        <v>27.3</v>
      </c>
      <c r="X36" s="33" cm="1">
        <f t="array" ref="X36">SUM(X29:X35)</f>
        <v>34.2158323057954</v>
      </c>
      <c r="Y36" s="33" cm="1">
        <f t="array" ref="Y36">SUM(Y29:Y35)</f>
        <v>31.44</v>
      </c>
      <c r="Z36" s="33" cm="1">
        <f t="array" ref="Z36">SUM(Z29:Z35)</f>
        <v>29.82</v>
      </c>
      <c r="AA36" s="33" cm="1">
        <f t="array" ref="AA36">SUM(AA29:AA35)</f>
        <v>32.447</v>
      </c>
      <c r="AB36" s="33" cm="1">
        <f t="array" ref="AB36">SUM(AB29:AB35)</f>
        <v>29.2</v>
      </c>
      <c r="AC36" s="33" cm="1">
        <f t="array" ref="AC36">SUM(AC29:AC35)</f>
        <v>29.25</v>
      </c>
      <c r="AD36" s="33" cm="1">
        <f t="array" ref="AD36">SUM(AD29:AD35)</f>
        <v>29.718</v>
      </c>
      <c r="AE36" s="33" cm="1">
        <f t="array" ref="AE36">SUM(AE29:AE35)</f>
        <v>29.81</v>
      </c>
      <c r="AF36" s="33" cm="1">
        <f t="array" ref="AF36">SUM(AF29:AF35)</f>
        <v>29.127</v>
      </c>
      <c r="AG36" s="33" cm="1">
        <f t="array" ref="AG36">SUM(AG29:AG35)</f>
        <v>28.7618</v>
      </c>
      <c r="AH36" s="33" cm="1">
        <f t="array" ref="AH36">SUM(AH29:AH35)</f>
        <v>28.689</v>
      </c>
      <c r="AI36" s="33" cm="1">
        <f t="array" ref="AI36">SUM(AI29:AI35)</f>
        <v>25</v>
      </c>
      <c r="AJ36" s="33" cm="1">
        <f t="array" ref="AJ36">SUM(AJ29:AJ35)</f>
        <v>26</v>
      </c>
      <c r="AK36" s="33" cm="1">
        <f t="array" ref="AK36">SUM(AK29:AK35)</f>
        <v>26.74</v>
      </c>
      <c r="AL36" s="33" cm="1">
        <f t="array" ref="AL36">SUM(AL29:AL35)</f>
        <v>26.2</v>
      </c>
      <c r="AM36" s="33" cm="1">
        <f t="array" ref="AM36">SUM(AM29:AM35)</f>
        <v>24.2555</v>
      </c>
      <c r="AN36" s="33" cm="1">
        <f t="array" ref="AN36">SUM(AN29:AN35)</f>
        <v>0</v>
      </c>
      <c r="AO36" s="33" cm="1">
        <f t="array" ref="AO36">SUM(AO29:AO35)</f>
        <v>0</v>
      </c>
      <c r="AP36" s="33" cm="1">
        <f t="array" ref="AP36">SUM(AP29:AP35)</f>
        <v>0</v>
      </c>
      <c r="AQ36" s="33" cm="1">
        <f t="array" ref="AQ36">SUM(AQ29:AQ35)</f>
        <v>24.921</v>
      </c>
      <c r="AR36" s="33" cm="1">
        <f t="array" ref="AR36">SUM(AR29:AR35)</f>
        <v>23.4952</v>
      </c>
      <c r="AS36" s="33" cm="1">
        <f t="array" ref="AS36">SUM(AS29:AS35)</f>
        <v>22.8762</v>
      </c>
      <c r="AT36" s="33" cm="1">
        <f t="array" ref="AT36">SUM(AT29:AT35)</f>
        <v>0</v>
      </c>
      <c r="AU36" s="33" cm="1">
        <f t="array" ref="AU36">SUM(AU29:AU35)</f>
        <v>0</v>
      </c>
    </row>
    <row r="37" ht="20.05" customHeight="1">
      <c r="A37" t="s" s="31">
        <v>219</v>
      </c>
      <c r="B37" s="12">
        <v>2.4</v>
      </c>
      <c r="C37" s="13" cm="1">
        <f t="array" ref="C37">3.4*0.804</f>
        <v>2.7336</v>
      </c>
      <c r="D37" s="34" cm="1">
        <f t="array" ref="D37">3.2*0.79</f>
        <v>2.528</v>
      </c>
      <c r="E37" s="13"/>
      <c r="F37" s="13" cm="1">
        <f t="array" ref="F37">3.3*0.784</f>
        <v>2.5872</v>
      </c>
      <c r="G37" s="13" cm="1">
        <f t="array" ref="G37">2.5*0.827</f>
        <v>2.0675</v>
      </c>
      <c r="H37" s="34" cm="1">
        <f t="array" ref="H37">1.4*0.77</f>
        <v>1.078</v>
      </c>
      <c r="I37" s="13" cm="1">
        <f t="array" ref="I37">5.6*0.847</f>
        <v>4.7432</v>
      </c>
      <c r="J37" s="34">
        <v>3.5</v>
      </c>
      <c r="K37" s="34" cm="1">
        <f t="array" ref="K37">3.8*0.82</f>
        <v>3.116</v>
      </c>
      <c r="L37" s="13" cm="1">
        <f t="array" ref="L37">3.78*0.82</f>
        <v>3.0996</v>
      </c>
      <c r="M37" s="34">
        <v>2.8</v>
      </c>
      <c r="N37" s="13">
        <v>3.1</v>
      </c>
      <c r="O37" s="13" cm="1">
        <f t="array" ref="O37">4*0.81</f>
        <v>3.24</v>
      </c>
      <c r="P37" s="13">
        <v>2.4</v>
      </c>
      <c r="Q37" s="13" cm="1">
        <f t="array" ref="Q37">3.78*0.795</f>
        <v>3.0051</v>
      </c>
      <c r="R37" s="13" cm="1">
        <f t="array" ref="R37">3.5*0.79</f>
        <v>2.765</v>
      </c>
      <c r="S37" s="13" cm="1">
        <f t="array" ref="S37">3.6*0.786</f>
        <v>2.8296</v>
      </c>
      <c r="T37" s="34" cm="1">
        <f t="array" ref="T37">2.7*0.79</f>
        <v>2.133</v>
      </c>
      <c r="U37" s="13" cm="1">
        <f t="array" ref="U37">0.7*4</f>
        <v>2.8</v>
      </c>
      <c r="V37" s="34">
        <v>3.3</v>
      </c>
      <c r="W37" s="34">
        <v>2.8</v>
      </c>
      <c r="X37" s="13" cm="1">
        <f t="array" ref="X37">3.35/81.1*75.9</f>
        <v>3.13520345252774</v>
      </c>
      <c r="Y37" s="34">
        <v>3</v>
      </c>
      <c r="Z37" s="34" cm="1">
        <f t="array" ref="Z37">3.5*0.71</f>
        <v>2.485</v>
      </c>
      <c r="AA37" s="13" cm="1">
        <f t="array" ref="AA37">3.1*0.71</f>
        <v>2.201</v>
      </c>
      <c r="AB37" s="13">
        <v>3</v>
      </c>
      <c r="AC37" s="34" cm="1">
        <f t="array" ref="AC37">3.8*0.75</f>
        <v>2.85</v>
      </c>
      <c r="AD37" s="34" cm="1">
        <f t="array" ref="AD37">3.7*0.78</f>
        <v>2.886</v>
      </c>
      <c r="AE37" s="13">
        <v>3.1</v>
      </c>
      <c r="AF37" s="13" cm="1">
        <f t="array" ref="AF37">4.1*0.73</f>
        <v>2.993</v>
      </c>
      <c r="AG37" s="13">
        <v>2.8</v>
      </c>
      <c r="AH37" s="34" cm="1">
        <f t="array" ref="AH37">4*0.73</f>
        <v>2.92</v>
      </c>
      <c r="AI37" s="34">
        <v>3.3</v>
      </c>
      <c r="AJ37" s="13">
        <v>2.6</v>
      </c>
      <c r="AK37" s="34" cm="1">
        <f t="array" ref="AK37">2.4*0.7</f>
        <v>1.68</v>
      </c>
      <c r="AL37" s="13">
        <v>2.7</v>
      </c>
      <c r="AM37" s="13" cm="1">
        <f t="array" ref="AM37">4.9*0.695</f>
        <v>3.4055</v>
      </c>
      <c r="AN37" s="34"/>
      <c r="AO37" s="34"/>
      <c r="AP37" s="34"/>
      <c r="AQ37" s="13">
        <v>2.5</v>
      </c>
      <c r="AR37" s="13" cm="1">
        <f t="array" ref="AR37">4.1*0.683</f>
        <v>2.8003</v>
      </c>
      <c r="AS37" s="13" cm="1">
        <f t="array" ref="AS37">3.14*0.71</f>
        <v>2.2294</v>
      </c>
      <c r="AT37" s="13"/>
      <c r="AU37" s="13"/>
    </row>
    <row r="38" ht="20.05" customHeight="1">
      <c r="A38" t="s" s="31">
        <v>220</v>
      </c>
      <c r="B38" s="12">
        <v>5.6</v>
      </c>
      <c r="C38" s="13" cm="1">
        <f t="array" ref="C38">8.5*0.804</f>
        <v>6.834</v>
      </c>
      <c r="D38" s="13" cm="1">
        <f t="array" ref="D38">7.8*0.79</f>
        <v>6.162</v>
      </c>
      <c r="E38" s="13"/>
      <c r="F38" s="13" cm="1">
        <f t="array" ref="F38">7.8*0.784</f>
        <v>6.1152</v>
      </c>
      <c r="G38" s="13" cm="1">
        <f t="array" ref="G38">6.3*0.827</f>
        <v>5.2101</v>
      </c>
      <c r="H38" s="13" cm="1">
        <f t="array" ref="H38">6.2*0.77</f>
        <v>4.774</v>
      </c>
      <c r="I38" s="13" cm="1">
        <f t="array" ref="I38">8.3*0.847</f>
        <v>7.0301</v>
      </c>
      <c r="J38" s="13">
        <v>6.9</v>
      </c>
      <c r="K38" s="13" cm="1">
        <f t="array" ref="K38">7.8*0.82</f>
        <v>6.396</v>
      </c>
      <c r="L38" s="13" cm="1">
        <f t="array" ref="L38">9.46*0.82</f>
        <v>7.7572</v>
      </c>
      <c r="M38" s="13">
        <v>6.6</v>
      </c>
      <c r="N38" s="13">
        <v>7</v>
      </c>
      <c r="O38" s="13" cm="1">
        <f t="array" ref="O38">8.6*0.81</f>
        <v>6.966</v>
      </c>
      <c r="P38" s="13">
        <v>6.8</v>
      </c>
      <c r="Q38" s="13" cm="1">
        <f t="array" ref="Q38">9.46*0.795</f>
        <v>7.5207</v>
      </c>
      <c r="R38" s="13" cm="1">
        <f t="array" ref="R38">7.8*0.79</f>
        <v>6.162</v>
      </c>
      <c r="S38" s="13" cm="1">
        <f t="array" ref="S38">8.5*0.786</f>
        <v>6.681</v>
      </c>
      <c r="T38" s="13" cm="1">
        <f t="array" ref="T38">8.1*0.79</f>
        <v>6.399</v>
      </c>
      <c r="U38" s="13" cm="1">
        <f t="array" ref="U38">1.9*4</f>
        <v>7.6</v>
      </c>
      <c r="V38" s="13">
        <v>4</v>
      </c>
      <c r="W38" s="13">
        <v>5.1</v>
      </c>
      <c r="X38" s="13" cm="1">
        <f t="array" ref="X38">5.07/81.1*75.9</f>
        <v>4.74491985203453</v>
      </c>
      <c r="Y38" s="13">
        <v>6.7</v>
      </c>
      <c r="Z38" s="13" cm="1">
        <f t="array" ref="Z38">7.9*0.71</f>
        <v>5.609</v>
      </c>
      <c r="AA38" s="13" cm="1">
        <f t="array" ref="AA38">7.6*0.71</f>
        <v>5.396</v>
      </c>
      <c r="AB38" s="13">
        <v>6.5</v>
      </c>
      <c r="AC38" s="13" cm="1">
        <f t="array" ref="AC38">8.3*0.75</f>
        <v>6.225</v>
      </c>
      <c r="AD38" s="13" cm="1">
        <f t="array" ref="AD38">8*0.78</f>
        <v>6.24</v>
      </c>
      <c r="AE38" s="13">
        <v>7.8</v>
      </c>
      <c r="AF38" s="13" cm="1">
        <f t="array" ref="AF38">8.8*0.73</f>
        <v>6.424</v>
      </c>
      <c r="AG38" s="13">
        <v>6.1</v>
      </c>
      <c r="AH38" s="13" cm="1">
        <f t="array" ref="AH38">8.7*0.73</f>
        <v>6.351</v>
      </c>
      <c r="AI38" s="13">
        <v>4</v>
      </c>
      <c r="AJ38" s="13">
        <v>5.6</v>
      </c>
      <c r="AK38" s="13" cm="1">
        <f t="array" ref="AK38">10.7*0.7</f>
        <v>7.49</v>
      </c>
      <c r="AL38" s="13">
        <v>6.2</v>
      </c>
      <c r="AM38" s="13" cm="1">
        <f t="array" ref="AM38">9.9*0.695</f>
        <v>6.8805</v>
      </c>
      <c r="AN38" s="13"/>
      <c r="AO38" s="13"/>
      <c r="AP38" s="13"/>
      <c r="AQ38" s="13">
        <v>5.6</v>
      </c>
      <c r="AR38" s="13" cm="1">
        <f t="array" ref="AR38">11.6*0.683</f>
        <v>7.9228</v>
      </c>
      <c r="AS38" s="13" cm="1">
        <f t="array" ref="AS38">8.43*0.71</f>
        <v>5.9853</v>
      </c>
      <c r="AT38" s="13"/>
      <c r="AU38" s="13"/>
    </row>
    <row r="39" ht="20.05" customHeight="1">
      <c r="A39" t="s" s="31">
        <v>221</v>
      </c>
      <c r="B39" s="12">
        <v>11.2</v>
      </c>
      <c r="C39" s="13" cm="1">
        <f t="array" ref="C39">16.8*0.804</f>
        <v>13.5072</v>
      </c>
      <c r="D39" s="13" cm="1">
        <f t="array" ref="D39">16.1*0.79</f>
        <v>12.719</v>
      </c>
      <c r="E39" s="13"/>
      <c r="F39" s="13" cm="1">
        <f t="array" ref="F39">16.4*0.784</f>
        <v>12.8576</v>
      </c>
      <c r="G39" s="13" cm="1">
        <f t="array" ref="G39">18.4*0.827</f>
        <v>15.2168</v>
      </c>
      <c r="H39" s="13" cm="1">
        <f t="array" ref="H39">18.3*0.77</f>
        <v>14.091</v>
      </c>
      <c r="I39" s="13" cm="1">
        <f t="array" ref="I39">17.5*0.847</f>
        <v>14.8225</v>
      </c>
      <c r="J39" s="13">
        <v>17.6</v>
      </c>
      <c r="K39" s="13" cm="1">
        <f t="array" ref="K39">19.1*0.82</f>
        <v>15.662</v>
      </c>
      <c r="L39" s="13" cm="1">
        <f t="array" ref="L39">18.27*0.82</f>
        <v>14.9814</v>
      </c>
      <c r="M39" s="13">
        <v>16.1</v>
      </c>
      <c r="N39" s="13">
        <v>13.5</v>
      </c>
      <c r="O39" s="13" cm="1">
        <f t="array" ref="O39">17.9*0.81</f>
        <v>14.499</v>
      </c>
      <c r="P39" s="13">
        <v>13.6</v>
      </c>
      <c r="Q39" s="13" cm="1">
        <f t="array" ref="Q39">18.27*0.795</f>
        <v>14.52465</v>
      </c>
      <c r="R39" s="13" cm="1">
        <f t="array" ref="R39">14.8*0.79</f>
        <v>11.692</v>
      </c>
      <c r="S39" s="13" cm="1">
        <f t="array" ref="S39">17.8*0.786</f>
        <v>13.9908</v>
      </c>
      <c r="T39" s="13" cm="1">
        <f t="array" ref="T39">16.8*0.79</f>
        <v>13.272</v>
      </c>
      <c r="U39" s="13" cm="1">
        <f t="array" ref="U39">3.7*4</f>
        <v>14.8</v>
      </c>
      <c r="V39" s="13">
        <v>21.5</v>
      </c>
      <c r="W39" s="13">
        <v>10.9</v>
      </c>
      <c r="X39" s="13" cm="1">
        <f t="array" ref="X39">10.08/81.1*75.9</f>
        <v>9.43368680641184</v>
      </c>
      <c r="Y39" s="13">
        <v>13.5</v>
      </c>
      <c r="Z39" s="13" cm="1">
        <f t="array" ref="Z39">15.8*0.71</f>
        <v>11.218</v>
      </c>
      <c r="AA39" s="13" cm="1">
        <f t="array" ref="AA39">15.8*0.71</f>
        <v>11.218</v>
      </c>
      <c r="AB39" s="13">
        <v>14.3</v>
      </c>
      <c r="AC39" s="13" cm="1">
        <f t="array" ref="AC39">18.3*0.75</f>
        <v>13.725</v>
      </c>
      <c r="AD39" s="13" cm="1">
        <f t="array" ref="AD39">18.5</f>
        <v>18.5</v>
      </c>
      <c r="AE39" s="13">
        <v>11.6</v>
      </c>
      <c r="AF39" s="13" cm="1">
        <f t="array" ref="AF39">17.4*0.73</f>
        <v>12.702</v>
      </c>
      <c r="AG39" s="13">
        <v>11.9</v>
      </c>
      <c r="AH39" s="13" cm="1">
        <f t="array" ref="AH39">17*0.73</f>
        <v>12.41</v>
      </c>
      <c r="AI39" s="13">
        <v>21.7</v>
      </c>
      <c r="AJ39" s="13">
        <v>13.7</v>
      </c>
      <c r="AK39" s="13" cm="1">
        <f t="array" ref="AK39">17.9*0.7</f>
        <v>12.53</v>
      </c>
      <c r="AL39" s="13">
        <v>14.4</v>
      </c>
      <c r="AM39" s="13" cm="1">
        <f t="array" ref="AM39">18.7*0.695</f>
        <v>12.9965</v>
      </c>
      <c r="AN39" s="13"/>
      <c r="AO39" s="13"/>
      <c r="AP39" s="13"/>
      <c r="AQ39" s="13">
        <v>12.1</v>
      </c>
      <c r="AR39" s="13" cm="1">
        <f t="array" ref="AR39">20.2*0.683</f>
        <v>13.7966</v>
      </c>
      <c r="AS39" s="13" cm="1">
        <f t="array" ref="AS39">15.57*0.71</f>
        <v>11.0547</v>
      </c>
      <c r="AT39" s="13"/>
      <c r="AU39" s="13"/>
    </row>
    <row r="40" ht="20.05" customHeight="1">
      <c r="A40" t="s" s="9">
        <v>222</v>
      </c>
      <c r="B40" s="32" cm="1">
        <f t="array" ref="B40">SUM(B37:B39)</f>
        <v>19.2</v>
      </c>
      <c r="C40" s="33" cm="1">
        <f t="array" ref="C40">SUM(C37:C39)</f>
        <v>23.0748</v>
      </c>
      <c r="D40" s="33" cm="1">
        <f t="array" ref="D40">SUM(D37:D39)</f>
        <v>21.409</v>
      </c>
      <c r="E40" s="33"/>
      <c r="F40" s="33" cm="1">
        <f t="array" ref="F40">SUM(F37:F39)</f>
        <v>21.56</v>
      </c>
      <c r="G40" s="33" cm="1">
        <f t="array" ref="G40">SUM(G37:G39)</f>
        <v>22.4944</v>
      </c>
      <c r="H40" s="33" cm="1">
        <f t="array" ref="H40">SUM(H37:H39)</f>
        <v>19.943</v>
      </c>
      <c r="I40" s="33" cm="1">
        <f t="array" ref="I40">SUM(I37:I39)</f>
        <v>26.5958</v>
      </c>
      <c r="J40" s="33" cm="1">
        <f t="array" ref="J40">SUM(J37:J39)</f>
        <v>28</v>
      </c>
      <c r="K40" s="33" cm="1">
        <f t="array" ref="K40">SUM(K37:K39)</f>
        <v>25.174</v>
      </c>
      <c r="L40" s="33" cm="1">
        <f t="array" ref="L40">SUM(L37:L39)</f>
        <v>25.8382</v>
      </c>
      <c r="M40" s="33" cm="1">
        <f t="array" ref="M40">SUM(M37:M39)</f>
        <v>25.5</v>
      </c>
      <c r="N40" s="33" cm="1">
        <f t="array" ref="N40">SUM(N37:N39)</f>
        <v>23.6</v>
      </c>
      <c r="O40" s="33" cm="1">
        <f t="array" ref="O40">SUM(O37:O39)</f>
        <v>24.705</v>
      </c>
      <c r="P40" s="33" cm="1">
        <f t="array" ref="P40">SUM(P37:P39)</f>
        <v>22.8</v>
      </c>
      <c r="Q40" s="33" cm="1">
        <f t="array" ref="Q40">SUM(Q37:Q39)</f>
        <v>25.05045</v>
      </c>
      <c r="R40" s="33" cm="1">
        <f t="array" ref="R40">SUM(R37:R39)</f>
        <v>20.619</v>
      </c>
      <c r="S40" s="33" cm="1">
        <f t="array" ref="S40">SUM(S37:S39)</f>
        <v>23.5014</v>
      </c>
      <c r="T40" s="33" cm="1">
        <f t="array" ref="T40">SUM(T37:T39)</f>
        <v>21.804</v>
      </c>
      <c r="U40" s="33" cm="1">
        <f t="array" ref="U40">SUM(U37:U39)</f>
        <v>25.2</v>
      </c>
      <c r="V40" s="33" cm="1">
        <f t="array" ref="V40">SUM(V37:V39)</f>
        <v>28.8</v>
      </c>
      <c r="W40" s="33" cm="1">
        <f t="array" ref="W40">SUM(W37:W39)</f>
        <v>18.8</v>
      </c>
      <c r="X40" s="33" cm="1">
        <f t="array" ref="X40">SUM(X37:X39)</f>
        <v>17.3138101109741</v>
      </c>
      <c r="Y40" s="33" cm="1">
        <f t="array" ref="Y40">SUM(Y37:Y39)</f>
        <v>23.2</v>
      </c>
      <c r="Z40" s="33" cm="1">
        <f t="array" ref="Z40">SUM(Z37:Z39)</f>
        <v>19.312</v>
      </c>
      <c r="AA40" s="33" cm="1">
        <f t="array" ref="AA40">SUM(AA37:AA39)</f>
        <v>18.815</v>
      </c>
      <c r="AB40" s="33" cm="1">
        <f t="array" ref="AB40">SUM(AB37:AB39)</f>
        <v>23.8</v>
      </c>
      <c r="AC40" s="33" cm="1">
        <f t="array" ref="AC40">SUM(AC37:AC39)</f>
        <v>22.8</v>
      </c>
      <c r="AD40" s="33" cm="1">
        <f t="array" ref="AD40">SUM(AD37:AD39)</f>
        <v>27.626</v>
      </c>
      <c r="AE40" s="33" cm="1">
        <f t="array" ref="AE40">SUM(AE37:AE39)</f>
        <v>22.5</v>
      </c>
      <c r="AF40" s="33" cm="1">
        <f t="array" ref="AF40">SUM(AF37:AF39)</f>
        <v>22.119</v>
      </c>
      <c r="AG40" s="33" cm="1">
        <f t="array" ref="AG40">SUM(AG37:AG39)</f>
        <v>20.8</v>
      </c>
      <c r="AH40" s="33" cm="1">
        <f t="array" ref="AH40">SUM(AH37:AH39)</f>
        <v>21.681</v>
      </c>
      <c r="AI40" s="33" cm="1">
        <f t="array" ref="AI40">SUM(AI37:AI39)</f>
        <v>29</v>
      </c>
      <c r="AJ40" s="33" cm="1">
        <f t="array" ref="AJ40">SUM(AJ37:AJ39)</f>
        <v>21.9</v>
      </c>
      <c r="AK40" s="33" cm="1">
        <f t="array" ref="AK40">SUM(AK37:AK39)</f>
        <v>21.7</v>
      </c>
      <c r="AL40" s="33" cm="1">
        <f t="array" ref="AL40">SUM(AL37:AL39)</f>
        <v>23.3</v>
      </c>
      <c r="AM40" s="33" cm="1">
        <f t="array" ref="AM40">SUM(AM37:AM39)</f>
        <v>23.2825</v>
      </c>
      <c r="AN40" s="33" cm="1">
        <f t="array" ref="AN40">SUM(AN37:AN39)</f>
        <v>0</v>
      </c>
      <c r="AO40" s="33" cm="1">
        <f t="array" ref="AO40">SUM(AO37:AO39)</f>
        <v>0</v>
      </c>
      <c r="AP40" s="33" cm="1">
        <f t="array" ref="AP40">SUM(AP37:AP39)</f>
        <v>0</v>
      </c>
      <c r="AQ40" s="33" cm="1">
        <f t="array" ref="AQ40">SUM(AQ37:AQ39)</f>
        <v>20.2</v>
      </c>
      <c r="AR40" s="33" cm="1">
        <f t="array" ref="AR40">SUM(AR37:AR39)</f>
        <v>24.5197</v>
      </c>
      <c r="AS40" s="33" cm="1">
        <f t="array" ref="AS40">SUM(AS37:AS39)</f>
        <v>19.2694</v>
      </c>
      <c r="AT40" s="33" cm="1">
        <f t="array" ref="AT40">SUM(AT37:AT39)</f>
        <v>0</v>
      </c>
      <c r="AU40" s="33" cm="1">
        <f t="array" ref="AU40">SUM(AU37:AU39)</f>
        <v>0</v>
      </c>
    </row>
    <row r="41" ht="20.05" customHeight="1">
      <c r="A41" t="s" s="31">
        <v>223</v>
      </c>
      <c r="B41" s="12">
        <v>3.2</v>
      </c>
      <c r="C41" s="13" cm="1">
        <f t="array" ref="C41">4.2*0.804</f>
        <v>3.3768</v>
      </c>
      <c r="D41" s="13" cm="1">
        <f t="array" ref="D41">4.9*0.79</f>
        <v>3.871</v>
      </c>
      <c r="E41" s="13"/>
      <c r="F41" s="13" cm="1">
        <f t="array" ref="F41">3.9*0.784</f>
        <v>3.0576</v>
      </c>
      <c r="G41" s="13" cm="1">
        <f t="array" ref="G41">3.2*0.827</f>
        <v>2.6464</v>
      </c>
      <c r="H41" s="13" cm="1">
        <f t="array" ref="H41">3.7*0.77</f>
        <v>2.849</v>
      </c>
      <c r="I41" s="13" cm="1">
        <f t="array" ref="I41">4.5*0.847</f>
        <v>3.8115</v>
      </c>
      <c r="J41" s="13">
        <v>4.6</v>
      </c>
      <c r="K41" s="13" cm="1">
        <f t="array" ref="K41">5.1</f>
        <v>5.1</v>
      </c>
      <c r="L41" s="13" cm="1">
        <f t="array" ref="L41">1.72*0.82</f>
        <v>1.4104</v>
      </c>
      <c r="M41" s="13">
        <v>4.5</v>
      </c>
      <c r="N41" s="13">
        <v>3.5</v>
      </c>
      <c r="O41" s="13" cm="1">
        <f t="array" ref="O41">4.5*0.81</f>
        <v>3.645</v>
      </c>
      <c r="P41" s="13">
        <v>3.2</v>
      </c>
      <c r="Q41" s="13" cm="1">
        <f t="array" ref="Q41">1.72*0.795</f>
        <v>1.3674</v>
      </c>
      <c r="R41" s="13" cm="1">
        <f t="array" ref="R41">3.7*0.79</f>
        <v>2.923</v>
      </c>
      <c r="S41" s="13" cm="1">
        <f t="array" ref="S41">4.3*0.786</f>
        <v>3.3798</v>
      </c>
      <c r="T41" s="13" cm="1">
        <f t="array" ref="T41">4*0.79</f>
        <v>3.16</v>
      </c>
      <c r="U41" s="13" cm="1">
        <f t="array" ref="U41">0.7*4</f>
        <v>2.8</v>
      </c>
      <c r="V41" s="13">
        <v>9.199999999999999</v>
      </c>
      <c r="W41" s="13">
        <v>6.2</v>
      </c>
      <c r="X41" s="13" cm="1">
        <f t="array" ref="X41">3.8/81.1*75.9</f>
        <v>3.55635018495684</v>
      </c>
      <c r="Y41" s="13">
        <v>4</v>
      </c>
      <c r="Z41" s="13" cm="1">
        <f t="array" ref="Z41">3.9*0.71</f>
        <v>2.769</v>
      </c>
      <c r="AA41" s="13" cm="1">
        <f t="array" ref="AA41">3.8*0.71</f>
        <v>2.698</v>
      </c>
      <c r="AB41" s="13">
        <v>3.6</v>
      </c>
      <c r="AC41" s="13" cm="1">
        <f t="array" ref="AC41">4.8*0.75</f>
        <v>3.6</v>
      </c>
      <c r="AD41" s="13" cm="1">
        <f t="array" ref="AD41">5.1*0.78</f>
        <v>3.978</v>
      </c>
      <c r="AE41" s="13">
        <v>2.9</v>
      </c>
      <c r="AF41" s="13" cm="1">
        <f t="array" ref="AF41">4.3*0.73</f>
        <v>3.139</v>
      </c>
      <c r="AG41" s="13">
        <v>3.1</v>
      </c>
      <c r="AH41" s="13" cm="1">
        <f t="array" ref="AH41">4.5*0.73</f>
        <v>3.285</v>
      </c>
      <c r="AI41" s="13">
        <v>9.300000000000001</v>
      </c>
      <c r="AJ41" s="13">
        <v>3.4</v>
      </c>
      <c r="AK41" s="13" cm="1">
        <f t="array" ref="AK41">4*0.7</f>
        <v>2.8</v>
      </c>
      <c r="AL41" s="13">
        <v>3.6</v>
      </c>
      <c r="AM41" s="13" cm="1">
        <f t="array" ref="AM41">4.5*0.695</f>
        <v>3.1275</v>
      </c>
      <c r="AN41" s="13"/>
      <c r="AO41" s="13"/>
      <c r="AP41" s="13"/>
      <c r="AQ41" s="13">
        <v>3.4</v>
      </c>
      <c r="AR41" s="13" cm="1">
        <f t="array" ref="AR41">4.2*0.683</f>
        <v>2.8686</v>
      </c>
      <c r="AS41" s="13" cm="1">
        <f t="array" ref="AS41">4*0.71</f>
        <v>2.84</v>
      </c>
      <c r="AT41" s="13"/>
      <c r="AU41" s="13"/>
    </row>
    <row r="42" ht="20.05" customHeight="1">
      <c r="A42" t="s" s="31">
        <v>224</v>
      </c>
      <c r="B42" s="12">
        <v>2.6</v>
      </c>
      <c r="C42" s="13" cm="1">
        <f t="array" ref="C42">3.8*0.804</f>
        <v>3.0552</v>
      </c>
      <c r="D42" s="13" cm="1">
        <f t="array" ref="D42">3.6*0.79</f>
        <v>2.844</v>
      </c>
      <c r="E42" s="13"/>
      <c r="F42" s="13" cm="1">
        <f t="array" ref="F42">4.1*0.784</f>
        <v>3.2144</v>
      </c>
      <c r="G42" s="13" cm="1">
        <f t="array" ref="G42">2.9*0.827</f>
        <v>2.3983</v>
      </c>
      <c r="H42" s="13" cm="1">
        <f t="array" ref="H42">3.1*0.77</f>
        <v>2.387</v>
      </c>
      <c r="I42" s="13" cm="1">
        <f t="array" ref="I42">4.3*0.847</f>
        <v>3.6421</v>
      </c>
      <c r="J42" s="13">
        <v>3.6</v>
      </c>
      <c r="K42" s="13" cm="1">
        <f t="array" ref="K42">4.2*0.82</f>
        <v>3.444</v>
      </c>
      <c r="L42" s="13" cm="1">
        <f t="array" ref="L42">4*0.82</f>
        <v>3.28</v>
      </c>
      <c r="M42" s="13">
        <v>3.5</v>
      </c>
      <c r="N42" s="13">
        <v>3.2</v>
      </c>
      <c r="O42" s="13" cm="1">
        <f t="array" ref="O42">4.2*0.81</f>
        <v>3.402</v>
      </c>
      <c r="P42" s="13">
        <v>3</v>
      </c>
      <c r="Q42" s="13" cm="1">
        <f t="array" ref="Q42">4*0.795</f>
        <v>3.18</v>
      </c>
      <c r="R42" s="13" cm="1">
        <f t="array" ref="R42">3.5*0.79</f>
        <v>2.765</v>
      </c>
      <c r="S42" s="13" cm="1">
        <f t="array" ref="S42">4.5*0.786</f>
        <v>3.537</v>
      </c>
      <c r="T42" s="13" cm="1">
        <f t="array" ref="T42">4*0.79</f>
        <v>3.16</v>
      </c>
      <c r="U42" s="13" cm="1">
        <f t="array" ref="U42">0.8*4</f>
        <v>3.2</v>
      </c>
      <c r="V42" s="13">
        <v>3.5</v>
      </c>
      <c r="W42" s="13">
        <v>2.9</v>
      </c>
      <c r="X42" s="13" cm="1">
        <f t="array" ref="X42">3.56/81.1*75.9</f>
        <v>3.33173859432799</v>
      </c>
      <c r="Y42" s="13">
        <v>3</v>
      </c>
      <c r="Z42" s="13" cm="1">
        <f t="array" ref="Z42">3.9*0.71</f>
        <v>2.769</v>
      </c>
      <c r="AA42" s="13" cm="1">
        <f t="array" ref="AA42">3.8*0.71</f>
        <v>2.698</v>
      </c>
      <c r="AB42" s="13">
        <v>3.3</v>
      </c>
      <c r="AC42" s="13" cm="1">
        <f t="array" ref="AC42">4.2*0.75</f>
        <v>3.15</v>
      </c>
      <c r="AD42" s="13" cm="1">
        <f t="array" ref="AD42">4.1*0.78</f>
        <v>3.198</v>
      </c>
      <c r="AE42" s="13">
        <v>2.7</v>
      </c>
      <c r="AF42" s="13" cm="1">
        <f t="array" ref="AF42">4.1*0.73</f>
        <v>2.993</v>
      </c>
      <c r="AG42" s="13">
        <v>3</v>
      </c>
      <c r="AH42" s="13" cm="1">
        <f t="array" ref="AH42">4.1*0.73</f>
        <v>2.993</v>
      </c>
      <c r="AI42" s="13">
        <v>3.5</v>
      </c>
      <c r="AJ42" s="13">
        <v>3</v>
      </c>
      <c r="AK42" s="13" cm="1">
        <f t="array" ref="AK42">4.5*0.7</f>
        <v>3.15</v>
      </c>
      <c r="AL42" s="13">
        <v>3.2</v>
      </c>
      <c r="AM42" s="13" cm="1">
        <f t="array" ref="AM42">5.3*0.695</f>
        <v>3.6835</v>
      </c>
      <c r="AN42" s="13"/>
      <c r="AO42" s="13"/>
      <c r="AP42" s="13"/>
      <c r="AQ42" s="13">
        <v>2.8</v>
      </c>
      <c r="AR42" s="13" cm="1">
        <f t="array" ref="AR42">5.4*0.683</f>
        <v>3.6882</v>
      </c>
      <c r="AS42" s="13" cm="1">
        <f t="array" ref="AS42">3.86*0.71</f>
        <v>2.7406</v>
      </c>
      <c r="AT42" s="13"/>
      <c r="AU42" s="13"/>
    </row>
    <row r="43" ht="20.05" customHeight="1">
      <c r="A43" t="s" s="31">
        <v>225</v>
      </c>
      <c r="B43" s="12">
        <v>0.71</v>
      </c>
      <c r="C43" s="13" cm="1">
        <f t="array" ref="C43">1.2*0.804</f>
        <v>0.9648</v>
      </c>
      <c r="D43" s="13" cm="1">
        <f t="array" ref="D43">1.4*0.79</f>
        <v>1.106</v>
      </c>
      <c r="E43" s="13"/>
      <c r="F43" s="13" cm="1">
        <f t="array" ref="F43">3.4*0.784</f>
        <v>2.6656</v>
      </c>
      <c r="G43" s="13" cm="1">
        <f t="array" ref="G43">0.8*0.827</f>
        <v>0.6616</v>
      </c>
      <c r="H43" s="13" cm="1">
        <f t="array" ref="H43">0</f>
        <v>0</v>
      </c>
      <c r="I43" s="13" cm="1">
        <f t="array" ref="I43">3.2*0.847</f>
        <v>2.7104</v>
      </c>
      <c r="J43" s="13">
        <v>1.2</v>
      </c>
      <c r="K43" s="13" cm="1">
        <f t="array" ref="K43">1.2*0.82</f>
        <v>0.984</v>
      </c>
      <c r="L43" s="13" cm="1">
        <f t="array" ref="L43">0.75*0.82</f>
        <v>0.615</v>
      </c>
      <c r="M43" s="13">
        <v>1.4</v>
      </c>
      <c r="N43" s="13">
        <v>1</v>
      </c>
      <c r="O43" s="13" cm="1">
        <f t="array" ref="O43">0.9*0.81</f>
        <v>0.729</v>
      </c>
      <c r="P43" s="13">
        <v>0.6</v>
      </c>
      <c r="Q43" s="13" cm="1">
        <f t="array" ref="Q43">0.75*0.795</f>
        <v>0.5962499999999999</v>
      </c>
      <c r="R43" s="13" cm="1">
        <f t="array" ref="R43">0.7*0.79</f>
        <v>0.553</v>
      </c>
      <c r="S43" s="13" cm="1">
        <f t="array" ref="S43">3.2*0.786</f>
        <v>2.5152</v>
      </c>
      <c r="T43" s="13" cm="1">
        <f t="array" ref="T43">1.6*0.79</f>
        <v>1.264</v>
      </c>
      <c r="U43" s="13" cm="1">
        <f t="array" ref="U43">0.1*4</f>
        <v>0.4</v>
      </c>
      <c r="V43" s="13">
        <v>1.5</v>
      </c>
      <c r="W43" s="13">
        <v>2</v>
      </c>
      <c r="X43" s="13" cm="1">
        <f t="array" ref="X43">0.53/81.1*75.9</f>
        <v>0.496017262638718</v>
      </c>
      <c r="Y43" s="13">
        <v>0.8</v>
      </c>
      <c r="Z43" s="13" cm="1">
        <f t="array" ref="Z43">1.6*0.71</f>
        <v>1.136</v>
      </c>
      <c r="AA43" s="13" cm="1">
        <f t="array" ref="AA43">2.4*0.71</f>
        <v>1.704</v>
      </c>
      <c r="AB43" s="13">
        <v>0.9</v>
      </c>
      <c r="AC43" s="13" cm="1">
        <f t="array" ref="AC43">1.1*0.75</f>
        <v>0.825</v>
      </c>
      <c r="AD43" s="13" cm="1">
        <f t="array" ref="AD43">1.4*0.78</f>
        <v>1.092</v>
      </c>
      <c r="AE43" s="13">
        <v>0.96</v>
      </c>
      <c r="AF43" s="13" cm="1">
        <f t="array" ref="AF43">0.9*0.73</f>
        <v>0.657</v>
      </c>
      <c r="AG43" s="13">
        <v>1.2</v>
      </c>
      <c r="AH43" s="13" cm="1">
        <f t="array" ref="AH43">1.2*0.73</f>
        <v>0.876</v>
      </c>
      <c r="AI43" s="13">
        <v>1.5</v>
      </c>
      <c r="AJ43" s="13">
        <v>1</v>
      </c>
      <c r="AK43" s="13" cm="1">
        <f t="array" ref="AK43">1.1*0.7</f>
        <v>0.77</v>
      </c>
      <c r="AL43" s="13">
        <v>0.9</v>
      </c>
      <c r="AM43" s="13" cm="1">
        <f t="array" ref="AM43">2.4*0.695</f>
        <v>1.668</v>
      </c>
      <c r="AN43" s="13"/>
      <c r="AO43" s="13"/>
      <c r="AP43" s="13"/>
      <c r="AQ43" s="13">
        <v>0.7</v>
      </c>
      <c r="AR43" s="13" cm="1">
        <f t="array" ref="AR43">1.8*0.683</f>
        <v>1.2294</v>
      </c>
      <c r="AS43" s="13" cm="1">
        <f t="array" ref="AS43">0.87*0.71</f>
        <v>0.6177</v>
      </c>
      <c r="AT43" s="13"/>
      <c r="AU43" s="13"/>
    </row>
    <row r="44" ht="20.05" customHeight="1">
      <c r="A44" t="s" s="31">
        <v>226</v>
      </c>
      <c r="B44" s="12">
        <v>6.9</v>
      </c>
      <c r="C44" s="13" cm="1">
        <f t="array" ref="C44">10*0.804</f>
        <v>8.039999999999999</v>
      </c>
      <c r="D44" s="13" cm="1">
        <f t="array" ref="D44">9.2*0.79</f>
        <v>7.268</v>
      </c>
      <c r="E44" s="13"/>
      <c r="F44" s="13" cm="1">
        <f t="array" ref="F44">8.5*0.784</f>
        <v>6.664</v>
      </c>
      <c r="G44" s="13" cm="1">
        <f t="array" ref="G44">8*0.827</f>
        <v>6.616</v>
      </c>
      <c r="H44" s="13" cm="1">
        <f t="array" ref="H44">13.1*0.77</f>
        <v>10.087</v>
      </c>
      <c r="I44" s="13" cm="1">
        <f t="array" ref="I44">8.4*0.847</f>
        <v>7.1148</v>
      </c>
      <c r="J44" s="13">
        <v>10.4</v>
      </c>
      <c r="K44" s="13" cm="1">
        <f t="array" ref="K44">11.7*0.82</f>
        <v>9.593999999999999</v>
      </c>
      <c r="L44" s="13" cm="1">
        <f t="array" ref="L44">10.65*0.82</f>
        <v>8.733000000000001</v>
      </c>
      <c r="M44" s="13">
        <v>9</v>
      </c>
      <c r="N44" s="13">
        <v>9.1</v>
      </c>
      <c r="O44" s="13" cm="1">
        <f t="array" ref="O44">10.8*0.81</f>
        <v>8.747999999999999</v>
      </c>
      <c r="P44" s="13">
        <v>8.6</v>
      </c>
      <c r="Q44" s="13" cm="1">
        <f t="array" ref="Q44">10.65*0.795</f>
        <v>8.466749999999999</v>
      </c>
      <c r="R44" s="13" cm="1">
        <f t="array" ref="R44">9*0.79</f>
        <v>7.11</v>
      </c>
      <c r="S44" s="13" cm="1">
        <f t="array" ref="S44">9.7*0.786</f>
        <v>7.6242</v>
      </c>
      <c r="T44" s="13" cm="1">
        <f t="array" ref="T44">10.1*0.79</f>
        <v>7.979</v>
      </c>
      <c r="U44" s="13" cm="1">
        <f t="array" ref="U44">2.2*4</f>
        <v>8.800000000000001</v>
      </c>
      <c r="V44" s="13">
        <v>7.2</v>
      </c>
      <c r="W44" s="13">
        <v>6.8</v>
      </c>
      <c r="X44" s="13" cm="1">
        <f t="array" ref="X44">8.99/81.1*75.9</f>
        <v>8.413575832305799</v>
      </c>
      <c r="Y44" s="13">
        <v>8.1</v>
      </c>
      <c r="Z44" s="13" cm="1">
        <f t="array" ref="Z44">10.4*0.71</f>
        <v>7.384</v>
      </c>
      <c r="AA44" s="13" cm="1">
        <f t="array" ref="AA44">9.3*0.71</f>
        <v>6.603</v>
      </c>
      <c r="AB44" s="13">
        <v>8.800000000000001</v>
      </c>
      <c r="AC44" s="13" cm="1">
        <f t="array" ref="AC44">11.4*0.75</f>
        <v>8.550000000000001</v>
      </c>
      <c r="AD44" s="13" cm="1">
        <f t="array" ref="AD44">11.8*0.78</f>
        <v>9.204000000000001</v>
      </c>
      <c r="AE44" s="13">
        <v>6.6</v>
      </c>
      <c r="AF44" s="13" cm="1">
        <f t="array" ref="AF44">10.6*0.73</f>
        <v>7.738</v>
      </c>
      <c r="AG44" s="13">
        <v>7.7</v>
      </c>
      <c r="AH44" s="13" cm="1">
        <f t="array" ref="AH44">11.3*0.73</f>
        <v>8.249000000000001</v>
      </c>
      <c r="AI44" s="13">
        <v>7.3</v>
      </c>
      <c r="AJ44" s="13">
        <v>7.9</v>
      </c>
      <c r="AK44" s="13" cm="1">
        <f t="array" ref="AK44">10.5*0.7</f>
        <v>7.35</v>
      </c>
      <c r="AL44" s="13">
        <v>8.1</v>
      </c>
      <c r="AM44" s="13" cm="1">
        <f t="array" ref="AM44">9.6*0.695</f>
        <v>6.672</v>
      </c>
      <c r="AN44" s="13"/>
      <c r="AO44" s="13"/>
      <c r="AP44" s="13"/>
      <c r="AQ44" s="13">
        <v>7.2</v>
      </c>
      <c r="AR44" s="13" cm="1">
        <f t="array" ref="AR44">9.1*0.683</f>
        <v>6.2153</v>
      </c>
      <c r="AS44" s="13" cm="1">
        <f t="array" ref="AS44">8.86*0.71</f>
        <v>6.2906</v>
      </c>
      <c r="AT44" s="13"/>
      <c r="AU44" s="13"/>
    </row>
    <row r="45" ht="20.05" customHeight="1">
      <c r="A45" t="s" s="31">
        <v>227</v>
      </c>
      <c r="B45" s="12">
        <v>3.3</v>
      </c>
      <c r="C45" s="13" cm="1">
        <f t="array" ref="C45">4.8*0.804</f>
        <v>3.8592</v>
      </c>
      <c r="D45" s="13" cm="1">
        <f t="array" ref="D45">4.3*0.79</f>
        <v>3.397</v>
      </c>
      <c r="E45" s="13"/>
      <c r="F45" s="13" cm="1">
        <f t="array" ref="F45">3.9*0.784</f>
        <v>3.0576</v>
      </c>
      <c r="G45" s="13" cm="1">
        <f t="array" ref="G45">3.4*0.827</f>
        <v>2.8118</v>
      </c>
      <c r="H45" s="13" cm="1">
        <f t="array" ref="H45">3.2*0.77</f>
        <v>2.464</v>
      </c>
      <c r="I45" s="13" cm="1">
        <f t="array" ref="I45">4.8*0.847</f>
        <v>4.0656</v>
      </c>
      <c r="J45" s="13">
        <v>4.8</v>
      </c>
      <c r="K45" s="13" cm="1">
        <f t="array" ref="K45">5.3*0.82</f>
        <v>4.346</v>
      </c>
      <c r="L45" s="13" cm="1">
        <f t="array" ref="L45">5.15*0.82</f>
        <v>4.223</v>
      </c>
      <c r="M45" s="13">
        <v>4.2</v>
      </c>
      <c r="N45" s="13">
        <v>4.1</v>
      </c>
      <c r="O45" s="13" cm="1">
        <f t="array" ref="O45">5.1*0.81</f>
        <v>4.131</v>
      </c>
      <c r="P45" s="13">
        <v>4</v>
      </c>
      <c r="Q45" s="13" cm="1">
        <f t="array" ref="Q45">5.15*0.795</f>
        <v>4.09425</v>
      </c>
      <c r="R45" s="13" cm="1">
        <f t="array" ref="R45">4.4*0.79</f>
        <v>3.476</v>
      </c>
      <c r="S45" s="13" cm="1">
        <f t="array" ref="S45">4.4*0.786</f>
        <v>3.4584</v>
      </c>
      <c r="T45" s="13" cm="1">
        <f t="array" ref="T45">6.5*0.79</f>
        <v>5.135</v>
      </c>
      <c r="U45" s="13" cm="1">
        <f t="array" ref="U45">1.1*4</f>
        <v>4.4</v>
      </c>
      <c r="V45" s="13">
        <v>3.6</v>
      </c>
      <c r="W45" s="13">
        <v>4</v>
      </c>
      <c r="X45" s="13" cm="1">
        <f t="array" ref="X45">4.44/81.1*75.9</f>
        <v>4.15531442663379</v>
      </c>
      <c r="Y45" s="13">
        <v>3.8</v>
      </c>
      <c r="Z45" s="13" cm="1">
        <f t="array" ref="Z45">4.4*0.71</f>
        <v>3.124</v>
      </c>
      <c r="AA45" s="13" cm="1">
        <f t="array" ref="AA45">4.1*0.71</f>
        <v>2.911</v>
      </c>
      <c r="AB45" s="13">
        <v>3.9</v>
      </c>
      <c r="AC45" s="13" cm="1">
        <f t="array" ref="AC45">5.1*0.75</f>
        <v>3.825</v>
      </c>
      <c r="AD45" s="13" cm="1">
        <f t="array" ref="AD45">5*0.78</f>
        <v>3.9</v>
      </c>
      <c r="AE45" s="13">
        <v>3.2</v>
      </c>
      <c r="AF45" s="13" cm="1">
        <f t="array" ref="AF45">5.2*0.73</f>
        <v>3.796</v>
      </c>
      <c r="AG45" s="13">
        <v>3.6</v>
      </c>
      <c r="AH45" s="13" cm="1">
        <f t="array" ref="AH45">5.3*0.73</f>
        <v>3.869</v>
      </c>
      <c r="AI45" s="13">
        <v>3.6</v>
      </c>
      <c r="AJ45" s="13">
        <v>3.5</v>
      </c>
      <c r="AK45" s="13" cm="1">
        <f t="array" ref="AK45">6.1*0.7</f>
        <v>4.27</v>
      </c>
      <c r="AL45" s="13">
        <v>3.5</v>
      </c>
      <c r="AM45" s="13" cm="1">
        <f t="array" ref="AM45">4.7*0.695</f>
        <v>3.2665</v>
      </c>
      <c r="AN45" s="13"/>
      <c r="AO45" s="13"/>
      <c r="AP45" s="13"/>
      <c r="AQ45" s="13">
        <v>3.4</v>
      </c>
      <c r="AR45" s="13" cm="1">
        <f t="array" ref="AR45">4.3*0.683</f>
        <v>2.9369</v>
      </c>
      <c r="AS45" s="13" cm="1">
        <f t="array" ref="AS45">5*0.71</f>
        <v>3.55</v>
      </c>
      <c r="AT45" s="13"/>
      <c r="AU45" s="13"/>
    </row>
    <row r="46" ht="20.05" customHeight="1">
      <c r="A46" t="s" s="31">
        <v>228</v>
      </c>
      <c r="B46" s="12">
        <v>2.7</v>
      </c>
      <c r="C46" s="13" cm="1">
        <f t="array" ref="C46">4.2*0.804</f>
        <v>3.3768</v>
      </c>
      <c r="D46" s="13" cm="1">
        <f t="array" ref="D46">3.9*0.79</f>
        <v>3.081</v>
      </c>
      <c r="E46" s="13"/>
      <c r="F46" s="13" cm="1">
        <f t="array" ref="F46">4.8*0.784</f>
        <v>3.7632</v>
      </c>
      <c r="G46" s="13" cm="1">
        <f t="array" ref="G46">3*0.827</f>
        <v>2.481</v>
      </c>
      <c r="H46" s="13" cm="1">
        <f t="array" ref="H46">0</f>
        <v>0</v>
      </c>
      <c r="I46" s="13" cm="1">
        <f t="array" ref="I46">5.7*0.847</f>
        <v>4.8279</v>
      </c>
      <c r="J46" s="13">
        <v>3.6</v>
      </c>
      <c r="K46" s="13" cm="1">
        <f t="array" ref="K46">4.4*0.82</f>
        <v>3.608</v>
      </c>
      <c r="L46" s="13" cm="1">
        <f t="array" ref="L46">4.57*0.82</f>
        <v>3.7474</v>
      </c>
      <c r="M46" s="13">
        <v>3.5</v>
      </c>
      <c r="N46" s="13">
        <v>3.4</v>
      </c>
      <c r="O46" s="13" cm="1">
        <f t="array" ref="O46">4.6*0.81</f>
        <v>3.726</v>
      </c>
      <c r="P46" s="13">
        <v>3.2</v>
      </c>
      <c r="Q46" s="13" cm="1">
        <f t="array" ref="Q46">4.57*0.795</f>
        <v>3.63315</v>
      </c>
      <c r="R46" s="13" cm="1">
        <f t="array" ref="R46">4*0.79</f>
        <v>3.16</v>
      </c>
      <c r="S46" s="13" cm="1">
        <f t="array" ref="S46">5.1*0.786</f>
        <v>4.0086</v>
      </c>
      <c r="T46" s="13" cm="1">
        <f t="array" ref="T46">5*0.79</f>
        <v>3.95</v>
      </c>
      <c r="U46" s="13" cm="1">
        <f t="array" ref="U46">0.9*4</f>
        <v>3.6</v>
      </c>
      <c r="V46" s="13">
        <v>3.7</v>
      </c>
      <c r="W46" s="13">
        <v>2.8</v>
      </c>
      <c r="X46" s="13" cm="1">
        <f t="array" ref="X46">4.72/81.1*75.9</f>
        <v>4.41736128236745</v>
      </c>
      <c r="Y46" s="13">
        <v>3.3</v>
      </c>
      <c r="Z46" s="13" cm="1">
        <f t="array" ref="Z46">8*0.71</f>
        <v>5.68</v>
      </c>
      <c r="AA46" s="13" cm="1">
        <f t="array" ref="AA46">4.4*0.71</f>
        <v>3.124</v>
      </c>
      <c r="AB46" s="13">
        <v>3.3</v>
      </c>
      <c r="AC46" s="13" cm="1">
        <f t="array" ref="AC46">4.3*0.75</f>
        <v>3.225</v>
      </c>
      <c r="AD46" s="13" cm="1">
        <f t="array" ref="AD46">4.2*0.78</f>
        <v>3.276</v>
      </c>
      <c r="AE46" s="13">
        <v>3.2</v>
      </c>
      <c r="AF46" s="13" cm="1">
        <f t="array" ref="AF46">4.7*0.73</f>
        <v>3.431</v>
      </c>
      <c r="AG46" s="13">
        <v>3.2</v>
      </c>
      <c r="AH46" s="13" cm="1">
        <f t="array" ref="AH46">4.5*0.73</f>
        <v>3.285</v>
      </c>
      <c r="AI46" s="13">
        <v>3.7</v>
      </c>
      <c r="AJ46" s="13">
        <v>3.1</v>
      </c>
      <c r="AK46" s="13" cm="1">
        <f t="array" ref="AK46">4.4*0.7</f>
        <v>3.08</v>
      </c>
      <c r="AL46" s="13">
        <v>3.2</v>
      </c>
      <c r="AM46" s="13" cm="1">
        <f t="array" ref="AM46">5.1*0.695</f>
        <v>3.5445</v>
      </c>
      <c r="AN46" s="13"/>
      <c r="AO46" s="13"/>
      <c r="AP46" s="13"/>
      <c r="AQ46" s="13">
        <v>2.9</v>
      </c>
      <c r="AR46" s="13" cm="1">
        <f t="array" ref="AR46">4.9*0.683</f>
        <v>3.3467</v>
      </c>
      <c r="AS46" s="13" cm="1">
        <f t="array" ref="AS46">3.86*0.71</f>
        <v>2.7406</v>
      </c>
      <c r="AT46" s="13"/>
      <c r="AU46" s="13"/>
    </row>
    <row r="47" ht="20.05" customHeight="1">
      <c r="A47" t="s" s="9">
        <v>229</v>
      </c>
      <c r="B47" s="32" cm="1">
        <f t="array" ref="B47">B36+B40+B41+B42+B43+B44+B45+B46</f>
        <v>78.81</v>
      </c>
      <c r="C47" s="33" cm="1">
        <f t="array" ref="C47">C36+C40+C41+C42+C43+C44+C45+C46</f>
        <v>82.0448</v>
      </c>
      <c r="D47" s="33" cm="1">
        <f t="array" ref="D47">D36+D40+D41+D42+D43+D44+D45+D46</f>
        <v>80.264</v>
      </c>
      <c r="E47" s="33"/>
      <c r="F47" s="33" cm="1">
        <f t="array" ref="F47">F36+F40+F41+F42+F43+F44+F45+F46</f>
        <v>79.184</v>
      </c>
      <c r="G47" s="33" cm="1">
        <f t="array" ref="G47">G36+G40+G41+G42+G43+G44+G45+G46</f>
        <v>82.6173</v>
      </c>
      <c r="H47" s="33" cm="1">
        <f t="array" ref="H47">H36+H40+H41+H42+H43+H44+H45+H46</f>
        <v>77</v>
      </c>
      <c r="I47" s="33" cm="1">
        <f t="array" ref="I47">I36+I40+I41+I42+I43+I44+I45+I46</f>
        <v>84.7</v>
      </c>
      <c r="J47" s="33" cm="1">
        <f t="array" ref="J47">J36+J40+J41+J42+J43+J44+J45+J46</f>
        <v>88.40000000000001</v>
      </c>
      <c r="K47" s="33" cm="1">
        <f t="array" ref="K47">K36+K40+K41+K42+K43+K44+K45+K46</f>
        <v>84.148</v>
      </c>
      <c r="L47" s="33" cm="1">
        <f t="array" ref="L47">L36+L40+L41+L42+L43+L44+L45+L46</f>
        <v>81.9918</v>
      </c>
      <c r="M47" s="33" cm="1">
        <f t="array" ref="M47">M36+M40+M41+M42+M43+M44+M45+M46</f>
        <v>83.97499999999999</v>
      </c>
      <c r="N47" s="33" cm="1">
        <f t="array" ref="N47">N36+N40+N41+N42+N43+N44+N45+N46</f>
        <v>82.40000000000001</v>
      </c>
      <c r="O47" s="33" cm="1">
        <f t="array" ref="O47">O36+O40+O41+O42+O43+O44+O45+O46</f>
        <v>81.53700000000001</v>
      </c>
      <c r="P47" s="33" cm="1">
        <f t="array" ref="P47">P36+P40+P41+P42+P43+P44+P45+P46</f>
        <v>80.09999999999999</v>
      </c>
      <c r="Q47" s="33" cm="1">
        <f t="array" ref="Q47">Q36+Q40+Q41+Q42+Q43+Q44+Q45+Q46</f>
        <v>79.49205000000001</v>
      </c>
      <c r="R47" s="33" cm="1">
        <f t="array" ref="R47">R36+R40+R41+R42+R43+R44+R45+R46</f>
        <v>79.23699999999999</v>
      </c>
      <c r="S47" s="33" cm="1">
        <f t="array" ref="S47">S36+S40+S41+S42+S43+S44+S45+S46</f>
        <v>78.59999999999999</v>
      </c>
      <c r="T47" s="33" cm="1">
        <f t="array" ref="T47">T36+T40+T41+T42+T43+T44+T45+T46</f>
        <v>79</v>
      </c>
      <c r="U47" s="33" cm="1">
        <f t="array" ref="U47">U36+U40+U41+U42+U43+U44+U45+U46</f>
        <v>80.8</v>
      </c>
      <c r="V47" s="33" cm="1">
        <f t="array" ref="V47">V36+V40+V41+V42+V43+V44+V45+V46</f>
        <v>87.3</v>
      </c>
      <c r="W47" s="33" cm="1">
        <f t="array" ref="W47">W36+W40+W41+W42+W43+W44+W45+W46</f>
        <v>70.8</v>
      </c>
      <c r="X47" s="33" cm="1">
        <f t="array" ref="X47">X36+X40+X41+X42+X43+X44+X45+X46</f>
        <v>75.90000000000011</v>
      </c>
      <c r="Y47" s="33" cm="1">
        <f t="array" ref="Y47">Y36+Y40+Y41+Y42+Y43+Y44+Y45+Y46</f>
        <v>77.64</v>
      </c>
      <c r="Z47" s="33" cm="1">
        <f t="array" ref="Z47">Z36+Z40+Z41+Z42+Z43+Z44+Z45+Z46</f>
        <v>71.994</v>
      </c>
      <c r="AA47" s="33" cm="1">
        <f t="array" ref="AA47">AA36+AA40+AA41+AA42+AA43+AA44+AA45+AA46</f>
        <v>71</v>
      </c>
      <c r="AB47" s="33" cm="1">
        <f t="array" ref="AB47">AB36+AB40+AB41+AB42+AB43+AB44+AB45+AB46</f>
        <v>76.8</v>
      </c>
      <c r="AC47" s="33" cm="1">
        <f t="array" ref="AC47">AC36+AC40+AC41+AC42+AC43+AC44+AC45+AC46</f>
        <v>75.22499999999999</v>
      </c>
      <c r="AD47" s="33" cm="1">
        <f t="array" ref="AD47">AD36+AD40+AD41+AD42+AD43+AD44+AD45+AD46</f>
        <v>81.992</v>
      </c>
      <c r="AE47" s="33" cm="1">
        <f t="array" ref="AE47">AE36+AE40+AE41+AE42+AE43+AE44+AE45+AE46</f>
        <v>71.87</v>
      </c>
      <c r="AF47" s="33" cm="1">
        <f t="array" ref="AF47">AF36+AF40+AF41+AF42+AF43+AF44+AF45+AF46</f>
        <v>73</v>
      </c>
      <c r="AG47" s="33" cm="1">
        <f t="array" ref="AG47">AG36+AG40+AG41+AG42+AG43+AG44+AG45+AG46</f>
        <v>71.3618</v>
      </c>
      <c r="AH47" s="33" cm="1">
        <f t="array" ref="AH47">AH36+AH40+AH41+AH42+AH43+AH44+AH45+AH46</f>
        <v>72.92700000000001</v>
      </c>
      <c r="AI47" s="33" cm="1">
        <f t="array" ref="AI47">AI36+AI40+AI41+AI42+AI43+AI44+AI45+AI46</f>
        <v>82.90000000000001</v>
      </c>
      <c r="AJ47" s="33" cm="1">
        <f t="array" ref="AJ47">AJ36+AJ40+AJ41+AJ42+AJ43+AJ44+AJ45+AJ46</f>
        <v>69.8</v>
      </c>
      <c r="AK47" s="33" cm="1">
        <f t="array" ref="AK47">AK36+AK40+AK41+AK42+AK43+AK44+AK45+AK46</f>
        <v>69.86</v>
      </c>
      <c r="AL47" s="33" cm="1">
        <f t="array" ref="AL47">AL36+AL40+AL41+AL42+AL43+AL44+AL45+AL46</f>
        <v>72</v>
      </c>
      <c r="AM47" s="33" cm="1">
        <f t="array" ref="AM47">AM36+AM40+AM41+AM42+AM43+AM44+AM45+AM46</f>
        <v>69.5</v>
      </c>
      <c r="AN47" s="33" cm="1">
        <f t="array" ref="AN47">AN36+AN40+AN41+AN42+AN43+AN44+AN45+AN46</f>
        <v>0</v>
      </c>
      <c r="AO47" s="33" cm="1">
        <f t="array" ref="AO47">AO36+AO40+AO41+AO42+AO43+AO44+AO45+AO46</f>
        <v>0</v>
      </c>
      <c r="AP47" s="33" cm="1">
        <f t="array" ref="AP47">AP36+AP40+AP41+AP42+AP43+AP44+AP45+AP46</f>
        <v>0</v>
      </c>
      <c r="AQ47" s="33" cm="1">
        <f t="array" ref="AQ47">AQ36+AQ40+AQ41+AQ42+AQ43+AQ44+AQ45+AQ46</f>
        <v>65.521</v>
      </c>
      <c r="AR47" s="33" cm="1">
        <f t="array" ref="AR47">AR36+AR40+AR41+AR42+AR43+AR44+AR45+AR46</f>
        <v>68.3</v>
      </c>
      <c r="AS47" s="33" cm="1">
        <f t="array" ref="AS47">AS36+AS40+AS41+AS42+AS43+AS44+AS45+AS46</f>
        <v>60.9251</v>
      </c>
      <c r="AT47" s="33" cm="1">
        <f t="array" ref="AT47">AT36+AT40+AT41+AT42+AT43+AT44+AT45+AT46</f>
        <v>0</v>
      </c>
      <c r="AU47" s="33" cm="1">
        <f t="array" ref="AU47">AU36+AU40+AU41+AU42+AU43+AU44+AU45+AU46</f>
        <v>0</v>
      </c>
    </row>
    <row r="48" ht="20.05" customHeight="1">
      <c r="A48" s="35"/>
      <c r="B48" s="36"/>
      <c r="C48" s="38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t="s" s="39">
        <v>230</v>
      </c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t="s" s="39">
        <v>230</v>
      </c>
      <c r="AK48" s="37"/>
      <c r="AL48" t="s" s="39">
        <v>230</v>
      </c>
      <c r="AM48" s="37"/>
      <c r="AN48" s="37"/>
      <c r="AO48" s="37"/>
      <c r="AP48" s="37"/>
      <c r="AQ48" s="37"/>
      <c r="AR48" s="37"/>
      <c r="AS48" s="37"/>
      <c r="AT48" s="37"/>
      <c r="AU48" s="37"/>
    </row>
    <row r="49" ht="20.05" customHeight="1">
      <c r="A49" t="s" s="9">
        <v>231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</row>
    <row r="50" ht="20.05" customHeight="1">
      <c r="A50" t="s" s="31">
        <v>232</v>
      </c>
      <c r="B50" s="40" cm="1">
        <f t="array" ref="B50">VLOOKUP(B23,'S-Verweis'!$C$3:$D$13,2,TRUE)</f>
        <v>9</v>
      </c>
      <c r="C50" s="14" cm="1">
        <f t="array" ref="C50">VLOOKUP(C23,'S-Verweis'!$C$3:$D$13,2,TRUE)</f>
        <v>9</v>
      </c>
      <c r="D50" s="14" cm="1">
        <f t="array" ref="D50">VLOOKUP(D23,'S-Verweis'!$C$3:$D$13,2,TRUE)</f>
        <v>8</v>
      </c>
      <c r="E50" s="14" cm="1">
        <f t="array" ref="E50">VLOOKUP(E23,'S-Verweis'!$C$3:$D$13,2,TRUE)</f>
        <v>9</v>
      </c>
      <c r="F50" s="14" cm="1">
        <f t="array" ref="F50">VLOOKUP(F23,'S-Verweis'!$C$3:$D$13,2,TRUE)</f>
        <v>8</v>
      </c>
      <c r="G50" s="14" cm="1">
        <f t="array" ref="G50">VLOOKUP(G23,'S-Verweis'!$C$3:$D$13,2,TRUE)</f>
        <v>10</v>
      </c>
      <c r="H50" s="14" cm="1">
        <f t="array" ref="H50">VLOOKUP(H23,'S-Verweis'!$C$3:$D$13,2,TRUE)</f>
        <v>7</v>
      </c>
      <c r="I50" s="14" cm="1">
        <f t="array" ref="I50">VLOOKUP(I23,'S-Verweis'!$C$3:$D$13,2,TRUE)</f>
        <v>10</v>
      </c>
      <c r="J50" s="14" cm="1">
        <f t="array" ref="J50">VLOOKUP(J23,'S-Verweis'!$C$3:$D$13,2,TRUE)</f>
        <v>10</v>
      </c>
      <c r="K50" s="14" cm="1">
        <f t="array" ref="K50">VLOOKUP(K23,'S-Verweis'!$C$3:$D$13,2,TRUE)</f>
        <v>10</v>
      </c>
      <c r="L50" s="14" cm="1">
        <f t="array" ref="L50">VLOOKUP(L23,'S-Verweis'!$C$3:$D$13,2,TRUE)</f>
        <v>10</v>
      </c>
      <c r="M50" s="14" cm="1">
        <f t="array" ref="M50">VLOOKUP(M23,'S-Verweis'!$C$3:$D$13,2,TRUE)</f>
        <v>10</v>
      </c>
      <c r="N50" s="14" cm="1">
        <f t="array" ref="N50">VLOOKUP(N23,'S-Verweis'!$C$3:$D$13,2,TRUE)</f>
        <v>5</v>
      </c>
      <c r="O50" s="14" cm="1">
        <f t="array" ref="O50">VLOOKUP(O23,'S-Verweis'!$C$3:$D$13,2,TRUE)</f>
        <v>9</v>
      </c>
      <c r="P50" s="14" cm="1">
        <f t="array" ref="P50">VLOOKUP(P23,'S-Verweis'!$C$3:$D$13,2,TRUE)</f>
        <v>9</v>
      </c>
      <c r="Q50" s="14" cm="1">
        <f t="array" ref="Q50">VLOOKUP(Q23,'S-Verweis'!$C$3:$D$13,2,TRUE)</f>
        <v>8</v>
      </c>
      <c r="R50" s="14" cm="1">
        <f t="array" ref="R50">VLOOKUP(R23,'S-Verweis'!$C$3:$D$13,2,TRUE)</f>
        <v>8</v>
      </c>
      <c r="S50" s="14" cm="1">
        <f t="array" ref="S50">VLOOKUP(S23,'S-Verweis'!$C$3:$D$13,2,TRUE)</f>
        <v>8</v>
      </c>
      <c r="T50" s="14" cm="1">
        <f t="array" ref="T50">VLOOKUP(T23,'S-Verweis'!$C$3:$D$13,2,TRUE)</f>
        <v>8</v>
      </c>
      <c r="U50" s="14" cm="1">
        <f t="array" ref="U50">VLOOKUP(U23,'S-Verweis'!$C$3:$D$13,2,TRUE)</f>
        <v>9</v>
      </c>
      <c r="V50" s="14" cm="1">
        <f t="array" ref="V50">VLOOKUP(V23,'S-Verweis'!$C$3:$D$13,2,TRUE)</f>
        <v>9</v>
      </c>
      <c r="W50" s="14" cm="1">
        <f t="array" ref="W50">VLOOKUP(W23,'S-Verweis'!$C$3:$D$13,2,TRUE)</f>
        <v>10</v>
      </c>
      <c r="X50" s="14" cm="1">
        <f t="array" ref="X50">VLOOKUP(X23,'S-Verweis'!$C$3:$D$13,2,TRUE)</f>
        <v>6</v>
      </c>
      <c r="Y50" s="14" cm="1">
        <f t="array" ref="Y50">VLOOKUP(Y23,'S-Verweis'!$C$3:$D$13,2,TRUE)</f>
        <v>8</v>
      </c>
      <c r="Z50" s="14" cm="1">
        <f t="array" ref="Z50">VLOOKUP(Z23,'S-Verweis'!$C$3:$D$13,2,TRUE)</f>
        <v>4</v>
      </c>
      <c r="AA50" s="14" cm="1">
        <f t="array" ref="AA50">VLOOKUP(AA23,'S-Verweis'!$C$3:$D$13,2,TRUE)</f>
        <v>4</v>
      </c>
      <c r="AB50" s="14" cm="1">
        <f t="array" ref="AB50">VLOOKUP(AB23,'S-Verweis'!$C$3:$D$13,2,TRUE)</f>
        <v>6</v>
      </c>
      <c r="AC50" s="14" cm="1">
        <f t="array" ref="AC50">VLOOKUP(AC23,'S-Verweis'!$C$3:$D$13,2,TRUE)</f>
        <v>6</v>
      </c>
      <c r="AD50" s="14" cm="1">
        <f t="array" ref="AD50">VLOOKUP(AD23,'S-Verweis'!$C$3:$D$13,2,TRUE)</f>
        <v>8</v>
      </c>
      <c r="AE50" s="14" cm="1">
        <f t="array" ref="AE50">VLOOKUP(AE23,'S-Verweis'!$C$3:$D$13,2,TRUE)</f>
        <v>5</v>
      </c>
      <c r="AF50" s="14" cm="1">
        <f t="array" ref="AF50">VLOOKUP(AF23,'S-Verweis'!$C$3:$D$13,2,TRUE)</f>
        <v>5</v>
      </c>
      <c r="AG50" s="14" cm="1">
        <f t="array" ref="AG50">VLOOKUP(AG23,'S-Verweis'!$C$3:$D$13,2,TRUE)</f>
        <v>5</v>
      </c>
      <c r="AH50" s="14" cm="1">
        <f t="array" ref="AH50">VLOOKUP(AH23,'S-Verweis'!$C$3:$D$13,2,TRUE)</f>
        <v>5</v>
      </c>
      <c r="AI50" s="14" cm="1">
        <f t="array" ref="AI50">VLOOKUP(AI23,'S-Verweis'!$C$3:$D$13,2,TRUE)</f>
        <v>6</v>
      </c>
      <c r="AJ50" s="14" cm="1">
        <f t="array" ref="AJ50">VLOOKUP(AJ23,'S-Verweis'!$C$3:$D$13,2,TRUE)</f>
        <v>4</v>
      </c>
      <c r="AK50" s="14" cm="1">
        <f t="array" ref="AK50">VLOOKUP(AK23,'S-Verweis'!$C$3:$D$13,2,TRUE)</f>
        <v>4</v>
      </c>
      <c r="AL50" s="14" cm="1">
        <f t="array" ref="AL50">VLOOKUP(AL23,'S-Verweis'!$C$3:$D$13,2,TRUE)</f>
        <v>5</v>
      </c>
      <c r="AM50" s="14" cm="1">
        <f t="array" ref="AM50">VLOOKUP(AM23,'S-Verweis'!$C$3:$D$13,2,TRUE)</f>
        <v>3</v>
      </c>
      <c r="AN50" s="14" cm="1">
        <f t="array" ref="AN50">VLOOKUP(AN23,'S-Verweis'!$C$3:$D$13,2,TRUE)</f>
        <v>10</v>
      </c>
      <c r="AO50" s="14" cm="1">
        <f t="array" ref="AO50">VLOOKUP(AO23,'S-Verweis'!$C$3:$D$13,2,TRUE)</f>
        <v>10</v>
      </c>
      <c r="AP50" s="14" cm="1">
        <f t="array" ref="AP50">VLOOKUP(AP23,'S-Verweis'!$C$3:$D$13,2,TRUE)</f>
        <v>10</v>
      </c>
      <c r="AQ50" s="14" cm="1">
        <f t="array" ref="AQ50">VLOOKUP(AQ23,'S-Verweis'!$C$3:$D$13,2,TRUE)</f>
        <v>3</v>
      </c>
      <c r="AR50" s="14" cm="1">
        <f t="array" ref="AR50">VLOOKUP(AR23,'S-Verweis'!$C$3:$D$13,2,TRUE)</f>
        <v>3</v>
      </c>
      <c r="AS50" s="14" cm="1">
        <f t="array" ref="AS50">VLOOKUP(AS23,'S-Verweis'!$C$3:$D$13,2,TRUE)</f>
        <v>4</v>
      </c>
      <c r="AT50" s="14" cm="1">
        <f t="array" ref="AT50">VLOOKUP(AT23,'S-Verweis'!$C$3:$D$13,2,TRUE)</f>
        <v>7</v>
      </c>
      <c r="AU50" s="14" cm="1">
        <f t="array" ref="AU50">VLOOKUP(AU23,'S-Verweis'!$C$3:$D$13,2,TRUE)</f>
        <v>7</v>
      </c>
    </row>
    <row r="51" ht="20.05" customHeight="1">
      <c r="A51" t="s" s="31">
        <v>233</v>
      </c>
      <c r="B51" s="40" cm="1">
        <f t="array" ref="B51">VLOOKUP(B36,'S-Verweis'!$C$15:$D$25,2,TRUE)</f>
        <v>10</v>
      </c>
      <c r="C51" s="14" cm="1">
        <f t="array" ref="C51">VLOOKUP(C36,'S-Verweis'!$C$15:$D$25,2,TRUE)</f>
        <v>10</v>
      </c>
      <c r="D51" s="14" cm="1">
        <f t="array" ref="D51">VLOOKUP(D36,'S-Verweis'!$C$15:$D$25,2,TRUE)</f>
        <v>10</v>
      </c>
      <c r="E51" s="14" cm="1">
        <f t="array" ref="E51">VLOOKUP(E36,'S-Verweis'!$C$15:$D$25,2,TRUE)</f>
        <v>9</v>
      </c>
      <c r="F51" s="14" cm="1">
        <f t="array" ref="F51">VLOOKUP(F36,'S-Verweis'!$C$15:$D$25,2,TRUE)</f>
        <v>9</v>
      </c>
      <c r="G51" s="14" cm="1">
        <f t="array" ref="G51">VLOOKUP(G36,'S-Verweis'!$C$15:$D$25,2,TRUE)</f>
        <v>10</v>
      </c>
      <c r="H51" s="14" cm="1">
        <f t="array" ref="H51">VLOOKUP(H36,'S-Verweis'!$C$15:$D$25,2,TRUE)</f>
        <v>10</v>
      </c>
      <c r="I51" s="14" cm="1">
        <f t="array" ref="I51">VLOOKUP(I36,'S-Verweis'!$C$15:$D$25,2,TRUE)</f>
        <v>7</v>
      </c>
      <c r="J51" s="14" cm="1">
        <f t="array" ref="J51">VLOOKUP(J36,'S-Verweis'!$C$15:$D$25,2,TRUE)</f>
        <v>7</v>
      </c>
      <c r="K51" s="14" cm="1">
        <f t="array" ref="K51">VLOOKUP(K36,'S-Verweis'!$C$15:$D$25,2,TRUE)</f>
        <v>7</v>
      </c>
      <c r="L51" s="14" cm="1">
        <f t="array" ref="L51">VLOOKUP(L36,'S-Verweis'!$C$15:$D$25,2,TRUE)</f>
        <v>8</v>
      </c>
      <c r="M51" s="14" cm="1">
        <f t="array" ref="M51">VLOOKUP(M36,'S-Verweis'!$C$15:$D$25,2,TRUE)</f>
        <v>7</v>
      </c>
      <c r="N51" s="14" cm="1">
        <f t="array" ref="N51">VLOOKUP(N36,'S-Verweis'!$C$15:$D$25,2,TRUE)</f>
        <v>9</v>
      </c>
      <c r="O51" s="14" cm="1">
        <f t="array" ref="O51">VLOOKUP(O36,'S-Verweis'!$C$15:$D$25,2,TRUE)</f>
        <v>7</v>
      </c>
      <c r="P51" s="14" cm="1">
        <f t="array" ref="P51">VLOOKUP(P36,'S-Verweis'!$C$15:$D$25,2,TRUE)</f>
        <v>9</v>
      </c>
      <c r="Q51" s="14" cm="1">
        <f t="array" ref="Q51">VLOOKUP(Q36,'S-Verweis'!$C$15:$D$25,2,TRUE)</f>
        <v>8</v>
      </c>
      <c r="R51" s="14" cm="1">
        <f t="array" ref="R51">VLOOKUP(R36,'S-Verweis'!$C$15:$D$25,2,TRUE)</f>
        <v>10</v>
      </c>
      <c r="S51" s="14" cm="1">
        <f t="array" ref="S51">VLOOKUP(S36,'S-Verweis'!$C$15:$D$25,2,TRUE)</f>
        <v>6</v>
      </c>
      <c r="T51" s="14" cm="1">
        <f t="array" ref="T51">VLOOKUP(T36,'S-Verweis'!$C$15:$D$25,2,TRUE)</f>
        <v>7</v>
      </c>
      <c r="U51" s="14" cm="1">
        <f t="array" ref="U51">VLOOKUP(U36,'S-Verweis'!$C$15:$D$25,2,TRUE)</f>
        <v>7</v>
      </c>
      <c r="V51" s="14" cm="1">
        <f t="array" ref="V51">VLOOKUP(V36,'S-Verweis'!$C$15:$D$25,2,TRUE)</f>
        <v>5</v>
      </c>
      <c r="W51" s="14" cm="1">
        <f t="array" ref="W51">VLOOKUP(W36,'S-Verweis'!$C$15:$D$25,2,TRUE)</f>
        <v>4</v>
      </c>
      <c r="X51" s="14" cm="1">
        <f t="array" ref="X51">VLOOKUP(X36,'S-Verweis'!$C$15:$D$25,2,TRUE)</f>
        <v>8</v>
      </c>
      <c r="Y51" s="14" cm="1">
        <f t="array" ref="Y51">VLOOKUP(Y36,'S-Verweis'!$C$15:$D$25,2,TRUE)</f>
        <v>6</v>
      </c>
      <c r="Z51" s="14" cm="1">
        <f t="array" ref="Z51">VLOOKUP(Z36,'S-Verweis'!$C$15:$D$25,2,TRUE)</f>
        <v>5</v>
      </c>
      <c r="AA51" s="14" cm="1">
        <f t="array" ref="AA51">VLOOKUP(AA36,'S-Verweis'!$C$15:$D$25,2,TRUE)</f>
        <v>7</v>
      </c>
      <c r="AB51" s="14" cm="1">
        <f t="array" ref="AB51">VLOOKUP(AB36,'S-Verweis'!$C$15:$D$25,2,TRUE)</f>
        <v>5</v>
      </c>
      <c r="AC51" s="14" cm="1">
        <f t="array" ref="AC51">VLOOKUP(AC36,'S-Verweis'!$C$15:$D$25,2,TRUE)</f>
        <v>5</v>
      </c>
      <c r="AD51" s="14" cm="1">
        <f t="array" ref="AD51">VLOOKUP(AD36,'S-Verweis'!$C$15:$D$25,2,TRUE)</f>
        <v>5</v>
      </c>
      <c r="AE51" s="14" cm="1">
        <f t="array" ref="AE51">VLOOKUP(AE36,'S-Verweis'!$C$15:$D$25,2,TRUE)</f>
        <v>5</v>
      </c>
      <c r="AF51" s="14" cm="1">
        <f t="array" ref="AF51">VLOOKUP(AF36,'S-Verweis'!$C$15:$D$25,2,TRUE)</f>
        <v>5</v>
      </c>
      <c r="AG51" s="14" cm="1">
        <f t="array" ref="AG51">VLOOKUP(AG36,'S-Verweis'!$C$15:$D$25,2,TRUE)</f>
        <v>5</v>
      </c>
      <c r="AH51" s="14" cm="1">
        <f t="array" ref="AH51">VLOOKUP(AH36,'S-Verweis'!$C$15:$D$25,2,TRUE)</f>
        <v>5</v>
      </c>
      <c r="AI51" s="14" cm="1">
        <f t="array" ref="AI51">VLOOKUP(AI36,'S-Verweis'!$C$15:$D$25,2,TRUE)</f>
        <v>2</v>
      </c>
      <c r="AJ51" s="14" cm="1">
        <f t="array" ref="AJ51">VLOOKUP(AJ36,'S-Verweis'!$C$15:$D$25,2,TRUE)</f>
        <v>3</v>
      </c>
      <c r="AK51" s="14" cm="1">
        <f t="array" ref="AK51">VLOOKUP(AK36,'S-Verweis'!$C$15:$D$25,2,TRUE)</f>
        <v>3</v>
      </c>
      <c r="AL51" s="14" cm="1">
        <f t="array" ref="AL51">VLOOKUP(AL36,'S-Verweis'!$C$15:$D$25,2,TRUE)</f>
        <v>3</v>
      </c>
      <c r="AM51" s="14" cm="1">
        <f t="array" ref="AM51">VLOOKUP(AM36,'S-Verweis'!$C$15:$D$25,2,TRUE)</f>
        <v>2</v>
      </c>
      <c r="AN51" s="14" cm="1">
        <f t="array" ref="AN51">VLOOKUP(AN36,'S-Verweis'!$C$15:$D$25,2,TRUE)</f>
        <v>0</v>
      </c>
      <c r="AO51" s="14" cm="1">
        <f t="array" ref="AO51">VLOOKUP(AO36,'S-Verweis'!$C$15:$D$25,2,TRUE)</f>
        <v>0</v>
      </c>
      <c r="AP51" s="14" cm="1">
        <f t="array" ref="AP51">VLOOKUP(AP36,'S-Verweis'!$C$15:$D$25,2,TRUE)</f>
        <v>0</v>
      </c>
      <c r="AQ51" s="14" cm="1">
        <f t="array" ref="AQ51">VLOOKUP(AQ36,'S-Verweis'!$C$15:$D$25,2,TRUE)</f>
        <v>2</v>
      </c>
      <c r="AR51" s="14" cm="1">
        <f t="array" ref="AR51">VLOOKUP(AR36,'S-Verweis'!$C$15:$D$25,2,TRUE)</f>
        <v>0</v>
      </c>
      <c r="AS51" s="14" cm="1">
        <f t="array" ref="AS51">VLOOKUP(AS36,'S-Verweis'!$C$15:$D$25,2,TRUE)</f>
        <v>0</v>
      </c>
      <c r="AT51" s="14" cm="1">
        <f t="array" ref="AT51">VLOOKUP(AT36,'S-Verweis'!$C$15:$D$25,2,TRUE)</f>
        <v>0</v>
      </c>
      <c r="AU51" s="14" cm="1">
        <f t="array" ref="AU51">VLOOKUP(AU36,'S-Verweis'!$C$15:$D$25,2,TRUE)</f>
        <v>0</v>
      </c>
    </row>
    <row r="52" ht="20.05" customHeight="1">
      <c r="A52" t="s" s="31">
        <v>234</v>
      </c>
      <c r="B52" s="40" cm="1">
        <f t="array" ref="B52">VLOOKUP(B29,'S-Verweis'!$C$27:$D$37,2,TRUE)</f>
        <v>10</v>
      </c>
      <c r="C52" s="14" cm="1">
        <f t="array" ref="C52">VLOOKUP(C29,'S-Verweis'!$C$27:$D$37,2,TRUE)</f>
        <v>9</v>
      </c>
      <c r="D52" s="14" cm="1">
        <f t="array" ref="D52">VLOOKUP(D29,'S-Verweis'!$C$27:$D$37,2,TRUE)</f>
        <v>10</v>
      </c>
      <c r="E52" s="14" cm="1">
        <f t="array" ref="E52">VLOOKUP(E29,'S-Verweis'!$C$27:$D$37,2,TRUE)</f>
        <v>9</v>
      </c>
      <c r="F52" s="14" cm="1">
        <f t="array" ref="F52">VLOOKUP(F29,'S-Verweis'!$C$27:$D$37,2,TRUE)</f>
        <v>9</v>
      </c>
      <c r="G52" s="14" cm="1">
        <f t="array" ref="G52">VLOOKUP(G29,'S-Verweis'!$C$27:$D$37,2,TRUE)</f>
        <v>10</v>
      </c>
      <c r="H52" s="14" cm="1">
        <f t="array" ref="H52">VLOOKUP(H29,'S-Verweis'!$C$27:$D$37,2,TRUE)</f>
        <v>10</v>
      </c>
      <c r="I52" s="14" cm="1">
        <f t="array" ref="I52">VLOOKUP(I29,'S-Verweis'!$C$27:$D$37,2,TRUE)</f>
        <v>8</v>
      </c>
      <c r="J52" s="14" cm="1">
        <f t="array" ref="J52">VLOOKUP(J29,'S-Verweis'!$C$27:$D$37,2,TRUE)</f>
        <v>6</v>
      </c>
      <c r="K52" s="14" cm="1">
        <f t="array" ref="K52">VLOOKUP(K29,'S-Verweis'!$C$27:$D$37,2,TRUE)</f>
        <v>6</v>
      </c>
      <c r="L52" s="14" cm="1">
        <f t="array" ref="L52">VLOOKUP(L29,'S-Verweis'!$C$27:$D$37,2,TRUE)</f>
        <v>8</v>
      </c>
      <c r="M52" s="14" cm="1">
        <f t="array" ref="M52">VLOOKUP(M29,'S-Verweis'!$C$27:$D$37,2,TRUE)</f>
        <v>7</v>
      </c>
      <c r="N52" s="14" cm="1">
        <f t="array" ref="N52">VLOOKUP(N29,'S-Verweis'!$C$27:$D$37,2,TRUE)</f>
        <v>6</v>
      </c>
      <c r="O52" s="14" cm="1">
        <f t="array" ref="O52">VLOOKUP(O29,'S-Verweis'!$C$27:$D$37,2,TRUE)</f>
        <v>6</v>
      </c>
      <c r="P52" s="14" cm="1">
        <f t="array" ref="P52">VLOOKUP(P29,'S-Verweis'!$C$27:$D$37,2,TRUE)</f>
        <v>10</v>
      </c>
      <c r="Q52" s="14" cm="1">
        <f t="array" ref="Q52">VLOOKUP(Q29,'S-Verweis'!$C$27:$D$37,2,TRUE)</f>
        <v>7</v>
      </c>
      <c r="R52" s="14" cm="1">
        <f t="array" ref="R52">VLOOKUP(R29,'S-Verweis'!$C$27:$D$37,2,TRUE)</f>
        <v>7</v>
      </c>
      <c r="S52" s="14" cm="1">
        <f t="array" ref="S52">VLOOKUP(S29,'S-Verweis'!$C$27:$D$37,2,TRUE)</f>
        <v>6</v>
      </c>
      <c r="T52" s="14" cm="1">
        <f t="array" ref="T52">VLOOKUP(T29,'S-Verweis'!$C$27:$D$37,2,TRUE)</f>
        <v>8</v>
      </c>
      <c r="U52" s="14" cm="1">
        <f t="array" ref="U52">VLOOKUP(U29,'S-Verweis'!$C$27:$D$37,2,TRUE)</f>
        <v>7</v>
      </c>
      <c r="V52" s="14" cm="1">
        <f t="array" ref="V52">VLOOKUP(V29,'S-Verweis'!$C$27:$D$37,2,TRUE)</f>
        <v>5</v>
      </c>
      <c r="W52" s="14" cm="1">
        <f t="array" ref="W52">VLOOKUP(W29,'S-Verweis'!$C$27:$D$37,2,TRUE)</f>
        <v>5</v>
      </c>
      <c r="X52" s="14" cm="1">
        <f t="array" ref="X52">VLOOKUP(X29,'S-Verweis'!$C$27:$D$37,2,TRUE)</f>
        <v>7</v>
      </c>
      <c r="Y52" s="14" cm="1">
        <f t="array" ref="Y52">VLOOKUP(Y29,'S-Verweis'!$C$27:$D$37,2,TRUE)</f>
        <v>6</v>
      </c>
      <c r="Z52" s="14" cm="1">
        <f t="array" ref="Z52">VLOOKUP(Z29,'S-Verweis'!$C$27:$D$37,2,TRUE)</f>
        <v>6</v>
      </c>
      <c r="AA52" s="14" cm="1">
        <f t="array" ref="AA52">VLOOKUP(AA29,'S-Verweis'!$C$27:$D$37,2,TRUE)</f>
        <v>10</v>
      </c>
      <c r="AB52" s="14" cm="1">
        <f t="array" ref="AB52">VLOOKUP(AB29,'S-Verweis'!$C$27:$D$37,2,TRUE)</f>
        <v>5</v>
      </c>
      <c r="AC52" s="14" cm="1">
        <f t="array" ref="AC52">VLOOKUP(AC29,'S-Verweis'!$C$27:$D$37,2,TRUE)</f>
        <v>5</v>
      </c>
      <c r="AD52" s="14" cm="1">
        <f t="array" ref="AD52">VLOOKUP(AD29,'S-Verweis'!$C$27:$D$37,2,TRUE)</f>
        <v>5</v>
      </c>
      <c r="AE52" s="14" cm="1">
        <f t="array" ref="AE52">VLOOKUP(AE29,'S-Verweis'!$C$27:$D$37,2,TRUE)</f>
        <v>7</v>
      </c>
      <c r="AF52" s="14" cm="1">
        <f t="array" ref="AF52">VLOOKUP(AF29,'S-Verweis'!$C$27:$D$37,2,TRUE)</f>
        <v>5</v>
      </c>
      <c r="AG52" s="14" cm="1">
        <f t="array" ref="AG52">VLOOKUP(AG29,'S-Verweis'!$C$27:$D$37,2,TRUE)</f>
        <v>5</v>
      </c>
      <c r="AH52" s="14" cm="1">
        <f t="array" ref="AH52">VLOOKUP(AH29,'S-Verweis'!$C$27:$D$37,2,TRUE)</f>
        <v>5</v>
      </c>
      <c r="AI52" s="14" cm="1">
        <f t="array" ref="AI52">VLOOKUP(AI29,'S-Verweis'!$C$27:$D$37,2,TRUE)</f>
        <v>2</v>
      </c>
      <c r="AJ52" s="14" cm="1">
        <f t="array" ref="AJ52">VLOOKUP(AJ29,'S-Verweis'!$C$27:$D$37,2,TRUE)</f>
        <v>4</v>
      </c>
      <c r="AK52" s="14" cm="1">
        <f t="array" ref="AK52">VLOOKUP(AK29,'S-Verweis'!$C$27:$D$37,2,TRUE)</f>
        <v>5</v>
      </c>
      <c r="AL52" s="14" cm="1">
        <f t="array" ref="AL52">VLOOKUP(AL29,'S-Verweis'!$C$27:$D$37,2,TRUE)</f>
        <v>4</v>
      </c>
      <c r="AM52" s="14" cm="1">
        <f t="array" ref="AM52">VLOOKUP(AM29,'S-Verweis'!$C$27:$D$37,2,TRUE)</f>
        <v>4</v>
      </c>
      <c r="AN52" s="14" cm="1">
        <f t="array" ref="AN52">VLOOKUP(AN29,'S-Verweis'!$C$27:$D$37,2,TRUE)</f>
        <v>0</v>
      </c>
      <c r="AO52" s="14" cm="1">
        <f t="array" ref="AO52">VLOOKUP(AO29,'S-Verweis'!$C$27:$D$37,2,TRUE)</f>
        <v>0</v>
      </c>
      <c r="AP52" s="14" cm="1">
        <f t="array" ref="AP52">VLOOKUP(AP29,'S-Verweis'!$C$27:$D$37,2,TRUE)</f>
        <v>0</v>
      </c>
      <c r="AQ52" s="14" cm="1">
        <f t="array" ref="AQ52">VLOOKUP(AQ29,'S-Verweis'!$C$27:$D$37,2,TRUE)</f>
        <v>3</v>
      </c>
      <c r="AR52" s="14" cm="1">
        <f t="array" ref="AR52">VLOOKUP(AR29,'S-Verweis'!$C$27:$D$37,2,TRUE)</f>
        <v>3</v>
      </c>
      <c r="AS52" s="14" cm="1">
        <f t="array" ref="AS52">VLOOKUP(AS29,'S-Verweis'!$C$27:$D$37,2,TRUE)</f>
        <v>2</v>
      </c>
      <c r="AT52" s="14" cm="1">
        <f t="array" ref="AT52">VLOOKUP(AT29,'S-Verweis'!$C$27:$D$37,2,TRUE)</f>
        <v>0</v>
      </c>
      <c r="AU52" s="14" cm="1">
        <f t="array" ref="AU52">VLOOKUP(AU29,'S-Verweis'!$C$27:$D$37,2,TRUE)</f>
        <v>0</v>
      </c>
    </row>
    <row r="53" ht="20.05" customHeight="1">
      <c r="A53" t="s" s="31">
        <v>235</v>
      </c>
      <c r="B53" s="40" cm="1">
        <f t="array" ref="B53">VLOOKUP(B30,'S-Verweis'!$C$39:$D$49,2,TRUE)</f>
        <v>10</v>
      </c>
      <c r="C53" s="14" cm="1">
        <f t="array" ref="C53">VLOOKUP(C30,'S-Verweis'!$C$39:$D$49,2,TRUE)</f>
        <v>10</v>
      </c>
      <c r="D53" s="14" cm="1">
        <f t="array" ref="D53">VLOOKUP(D30,'S-Verweis'!$C$39:$D$49,2,TRUE)</f>
        <v>10</v>
      </c>
      <c r="E53" s="14" cm="1">
        <f t="array" ref="E53">VLOOKUP(E30,'S-Verweis'!$C$39:$D$49,2,TRUE)</f>
        <v>8</v>
      </c>
      <c r="F53" s="14" cm="1">
        <f t="array" ref="F53">VLOOKUP(F30,'S-Verweis'!$C$39:$D$49,2,TRUE)</f>
        <v>10</v>
      </c>
      <c r="G53" s="14" cm="1">
        <f t="array" ref="G53">VLOOKUP(G30,'S-Verweis'!$C$39:$D$49,2,TRUE)</f>
        <v>6</v>
      </c>
      <c r="H53" s="14" cm="1">
        <f t="array" ref="H53">VLOOKUP(H30,'S-Verweis'!$C$39:$D$49,2,TRUE)</f>
        <v>7</v>
      </c>
      <c r="I53" s="14" cm="1">
        <f t="array" ref="I53">VLOOKUP(I30,'S-Verweis'!$C$39:$D$49,2,TRUE)</f>
        <v>3</v>
      </c>
      <c r="J53" s="14" cm="1">
        <f t="array" ref="J53">VLOOKUP(J30,'S-Verweis'!$C$39:$D$49,2,TRUE)</f>
        <v>9</v>
      </c>
      <c r="K53" s="14" cm="1">
        <f t="array" ref="K53">VLOOKUP(K30,'S-Verweis'!$C$39:$D$49,2,TRUE)</f>
        <v>8</v>
      </c>
      <c r="L53" s="14" cm="1">
        <f t="array" ref="L53">VLOOKUP(L30,'S-Verweis'!$C$39:$D$49,2,TRUE)</f>
        <v>10</v>
      </c>
      <c r="M53" s="14" cm="1">
        <f t="array" ref="M53">VLOOKUP(M30,'S-Verweis'!$C$39:$D$49,2,TRUE)</f>
        <v>8</v>
      </c>
      <c r="N53" s="14" cm="1">
        <f t="array" ref="N53">VLOOKUP(N30,'S-Verweis'!$C$39:$D$49,2,TRUE)</f>
        <v>9</v>
      </c>
      <c r="O53" s="14" cm="1">
        <f t="array" ref="O53">VLOOKUP(O30,'S-Verweis'!$C$39:$D$49,2,TRUE)</f>
        <v>9</v>
      </c>
      <c r="P53" s="14" cm="1">
        <f t="array" ref="P53">VLOOKUP(P30,'S-Verweis'!$C$39:$D$49,2,TRUE)</f>
        <v>7</v>
      </c>
      <c r="Q53" s="14" cm="1">
        <f t="array" ref="Q53">VLOOKUP(Q30,'S-Verweis'!$C$39:$D$49,2,TRUE)</f>
        <v>10</v>
      </c>
      <c r="R53" s="14" cm="1">
        <f t="array" ref="R53">VLOOKUP(R30,'S-Verweis'!$C$39:$D$49,2,TRUE)</f>
        <v>10</v>
      </c>
      <c r="S53" s="14" cm="1">
        <f t="array" ref="S53">VLOOKUP(S30,'S-Verweis'!$C$39:$D$49,2,TRUE)</f>
        <v>6</v>
      </c>
      <c r="T53" s="14" cm="1">
        <f t="array" ref="T53">VLOOKUP(T30,'S-Verweis'!$C$39:$D$49,2,TRUE)</f>
        <v>7</v>
      </c>
      <c r="U53" s="14" cm="1">
        <f t="array" ref="U53">VLOOKUP(U30,'S-Verweis'!$C$39:$D$49,2,TRUE)</f>
        <v>10</v>
      </c>
      <c r="V53" s="14" cm="1">
        <f t="array" ref="V53">VLOOKUP(V30,'S-Verweis'!$C$39:$D$49,2,TRUE)</f>
        <v>3</v>
      </c>
      <c r="W53" s="14" cm="1">
        <f t="array" ref="W53">VLOOKUP(W30,'S-Verweis'!$C$39:$D$49,2,TRUE)</f>
        <v>5</v>
      </c>
      <c r="X53" s="14" cm="1">
        <f t="array" ref="X53">VLOOKUP(X30,'S-Verweis'!$C$39:$D$49,2,TRUE)</f>
        <v>10</v>
      </c>
      <c r="Y53" s="14" cm="1">
        <f t="array" ref="Y53">VLOOKUP(Y30,'S-Verweis'!$C$39:$D$49,2,TRUE)</f>
        <v>8</v>
      </c>
      <c r="Z53" s="14" cm="1">
        <f t="array" ref="Z53">VLOOKUP(Z30,'S-Verweis'!$C$39:$D$49,2,TRUE)</f>
        <v>8</v>
      </c>
      <c r="AA53" s="14" cm="1">
        <f t="array" ref="AA53">VLOOKUP(AA30,'S-Verweis'!$C$39:$D$49,2,TRUE)</f>
        <v>5</v>
      </c>
      <c r="AB53" s="14" cm="1">
        <f t="array" ref="AB53">VLOOKUP(AB30,'S-Verweis'!$C$39:$D$49,2,TRUE)</f>
        <v>7</v>
      </c>
      <c r="AC53" s="14" cm="1">
        <f t="array" ref="AC53">VLOOKUP(AC30,'S-Verweis'!$C$39:$D$49,2,TRUE)</f>
        <v>8</v>
      </c>
      <c r="AD53" s="14" cm="1">
        <f t="array" ref="AD53">VLOOKUP(AD30,'S-Verweis'!$C$39:$D$49,2,TRUE)</f>
        <v>8</v>
      </c>
      <c r="AE53" s="14" cm="1">
        <f t="array" ref="AE53">VLOOKUP(AE30,'S-Verweis'!$C$39:$D$49,2,TRUE)</f>
        <v>6</v>
      </c>
      <c r="AF53" s="14" cm="1">
        <f t="array" ref="AF53">VLOOKUP(AF30,'S-Verweis'!$C$39:$D$49,2,TRUE)</f>
        <v>8</v>
      </c>
      <c r="AG53" s="14" cm="1">
        <f t="array" ref="AG53">VLOOKUP(AG30,'S-Verweis'!$C$39:$D$49,2,TRUE)</f>
        <v>8</v>
      </c>
      <c r="AH53" s="14" cm="1">
        <f t="array" ref="AH53">VLOOKUP(AH30,'S-Verweis'!$C$39:$D$49,2,TRUE)</f>
        <v>8</v>
      </c>
      <c r="AI53" s="14" cm="1">
        <f t="array" ref="AI53">VLOOKUP(AI30,'S-Verweis'!$C$39:$D$49,2,TRUE)</f>
        <v>3</v>
      </c>
      <c r="AJ53" s="14" cm="1">
        <f t="array" ref="AJ53">VLOOKUP(AJ30,'S-Verweis'!$C$39:$D$49,2,TRUE)</f>
        <v>6</v>
      </c>
      <c r="AK53" s="14" cm="1">
        <f t="array" ref="AK53">VLOOKUP(AK30,'S-Verweis'!$C$39:$D$49,2,TRUE)</f>
        <v>6</v>
      </c>
      <c r="AL53" s="14" cm="1">
        <f t="array" ref="AL53">VLOOKUP(AL30,'S-Verweis'!$C$39:$D$49,2,TRUE)</f>
        <v>6</v>
      </c>
      <c r="AM53" s="14" cm="1">
        <f t="array" ref="AM53">VLOOKUP(AM30,'S-Verweis'!$C$39:$D$49,2,TRUE)</f>
        <v>2</v>
      </c>
      <c r="AN53" s="14" cm="1">
        <f t="array" ref="AN53">VLOOKUP(AN30,'S-Verweis'!$C$39:$D$49,2,TRUE)</f>
        <v>0</v>
      </c>
      <c r="AO53" s="14" cm="1">
        <f t="array" ref="AO53">VLOOKUP(AO30,'S-Verweis'!$C$39:$D$49,2,TRUE)</f>
        <v>0</v>
      </c>
      <c r="AP53" s="14" cm="1">
        <f t="array" ref="AP53">VLOOKUP(AP30,'S-Verweis'!$C$39:$D$49,2,TRUE)</f>
        <v>0</v>
      </c>
      <c r="AQ53" s="14" cm="1">
        <f t="array" ref="AQ53">VLOOKUP(AQ30,'S-Verweis'!$C$39:$D$49,2,TRUE)</f>
        <v>6</v>
      </c>
      <c r="AR53" s="14" cm="1">
        <f t="array" ref="AR53">VLOOKUP(AR30,'S-Verweis'!$C$39:$D$49,2,TRUE)</f>
        <v>2</v>
      </c>
      <c r="AS53" s="14" cm="1">
        <f t="array" ref="AS53">VLOOKUP(AS30,'S-Verweis'!$C$39:$D$49,2,TRUE)</f>
        <v>6</v>
      </c>
      <c r="AT53" s="14" cm="1">
        <f t="array" ref="AT53">VLOOKUP(AT30,'S-Verweis'!$C$39:$D$49,2,TRUE)</f>
        <v>0</v>
      </c>
      <c r="AU53" s="14" cm="1">
        <f t="array" ref="AU53">VLOOKUP(AU30,'S-Verweis'!$C$39:$D$49,2,TRUE)</f>
        <v>0</v>
      </c>
    </row>
    <row r="54" ht="32.05" customHeight="1">
      <c r="A54" t="s" s="31">
        <v>236</v>
      </c>
      <c r="B54" s="40" cm="1">
        <f t="array" ref="B54">VLOOKUP(B33,'S-Verweis'!$C$51:$D$62,2,TRUE)</f>
        <v>10</v>
      </c>
      <c r="C54" s="14" cm="1">
        <f t="array" ref="C54">VLOOKUP(C33,'S-Verweis'!$C$51:$D$62,2,TRUE)</f>
        <v>10</v>
      </c>
      <c r="D54" s="14" cm="1">
        <f t="array" ref="D54">VLOOKUP(D33,'S-Verweis'!$C$51:$D$62,2,TRUE)</f>
        <v>10</v>
      </c>
      <c r="E54" s="14" cm="1">
        <f t="array" ref="E54">VLOOKUP(E33,'S-Verweis'!$C$51:$D$62,2,TRUE)</f>
        <v>10</v>
      </c>
      <c r="F54" s="14" cm="1">
        <f t="array" ref="F54">VLOOKUP(F33,'S-Verweis'!$C$51:$D$62,2,TRUE)</f>
        <v>10</v>
      </c>
      <c r="G54" s="14" cm="1">
        <f t="array" ref="G54">VLOOKUP(G33,'S-Verweis'!$C$51:$D$62,2,TRUE)</f>
        <v>10</v>
      </c>
      <c r="H54" s="14" cm="1">
        <f t="array" ref="H54">VLOOKUP(H33,'S-Verweis'!$C$51:$D$62,2,TRUE)</f>
        <v>5</v>
      </c>
      <c r="I54" s="14" cm="1">
        <f t="array" ref="I54">VLOOKUP(I33,'S-Verweis'!$C$51:$D$62,2,TRUE)</f>
        <v>10</v>
      </c>
      <c r="J54" s="14" cm="1">
        <f t="array" ref="J54">VLOOKUP(J33,'S-Verweis'!$C$51:$D$62,2,TRUE)</f>
        <v>7</v>
      </c>
      <c r="K54" s="14" cm="1">
        <f t="array" ref="K54">VLOOKUP(K33,'S-Verweis'!$C$51:$D$62,2,TRUE)</f>
        <v>5</v>
      </c>
      <c r="L54" s="14" cm="1">
        <f t="array" ref="L54">VLOOKUP(L33,'S-Verweis'!$C$51:$D$62,2,TRUE)</f>
        <v>0</v>
      </c>
      <c r="M54" s="14" cm="1">
        <f t="array" ref="M54">VLOOKUP(M33,'S-Verweis'!$C$51:$D$62,2,TRUE)</f>
        <v>4</v>
      </c>
      <c r="N54" s="14" cm="1">
        <f t="array" ref="N54">VLOOKUP(N33,'S-Verweis'!$C$51:$D$62,2,TRUE)</f>
        <v>10</v>
      </c>
      <c r="O54" s="14" cm="1">
        <f t="array" ref="O54">VLOOKUP(O33,'S-Verweis'!$C$51:$D$62,2,TRUE)</f>
        <v>7</v>
      </c>
      <c r="P54" s="14" cm="1">
        <f t="array" ref="P54">VLOOKUP(P33,'S-Verweis'!$C$51:$D$62,2,TRUE)</f>
        <v>1</v>
      </c>
      <c r="Q54" s="14" cm="1">
        <f t="array" ref="Q54">VLOOKUP(Q33,'S-Verweis'!$C$51:$D$62,2,TRUE)</f>
        <v>0</v>
      </c>
      <c r="R54" s="14" cm="1">
        <f t="array" ref="R54">VLOOKUP(R33,'S-Verweis'!$C$51:$D$62,2,TRUE)</f>
        <v>6</v>
      </c>
      <c r="S54" s="14" cm="1">
        <f t="array" ref="S54">VLOOKUP(S33,'S-Verweis'!$C$51:$D$62,2,TRUE)</f>
        <v>10</v>
      </c>
      <c r="T54" s="14" cm="1">
        <f t="array" ref="T54">VLOOKUP(T33,'S-Verweis'!$C$51:$D$62,2,TRUE)</f>
        <v>10</v>
      </c>
      <c r="U54" s="14" cm="1">
        <f t="array" ref="U54">VLOOKUP(U33,'S-Verweis'!$C$51:$D$62,2,TRUE)</f>
        <v>3</v>
      </c>
      <c r="V54" s="14" cm="1">
        <f t="array" ref="V54">VLOOKUP(V33,'S-Verweis'!$C$51:$D$62,2,TRUE)</f>
        <v>10</v>
      </c>
      <c r="W54" s="14" cm="1">
        <f t="array" ref="W54">VLOOKUP(W33,'S-Verweis'!$C$51:$D$62,2,TRUE)</f>
        <v>7</v>
      </c>
      <c r="X54" s="14" cm="1">
        <f t="array" ref="X54">VLOOKUP(X33,'S-Verweis'!$C$51:$D$62,2,TRUE)</f>
        <v>0</v>
      </c>
      <c r="Y54" s="14" cm="1">
        <f t="array" ref="Y54">VLOOKUP(Y33,'S-Verweis'!$C$51:$D$62,2,TRUE)</f>
        <v>4</v>
      </c>
      <c r="Z54" s="14" cm="1">
        <f t="array" ref="Z54">VLOOKUP(Z33,'S-Verweis'!$C$51:$D$62,2,TRUE)</f>
        <v>10</v>
      </c>
      <c r="AA54" s="14" cm="1">
        <f t="array" ref="AA54">VLOOKUP(AA33,'S-Verweis'!$C$51:$D$62,2,TRUE)</f>
        <v>7</v>
      </c>
      <c r="AB54" s="14" cm="1">
        <f t="array" ref="AB54">VLOOKUP(AB33,'S-Verweis'!$C$51:$D$62,2,TRUE)</f>
        <v>6</v>
      </c>
      <c r="AC54" s="14" cm="1">
        <f t="array" ref="AC54">VLOOKUP(AC33,'S-Verweis'!$C$51:$D$62,2,TRUE)</f>
        <v>4</v>
      </c>
      <c r="AD54" s="14" cm="1">
        <f t="array" ref="AD54">VLOOKUP(AD33,'S-Verweis'!$C$51:$D$62,2,TRUE)</f>
        <v>3</v>
      </c>
      <c r="AE54" s="14" cm="1">
        <f t="array" ref="AE54">VLOOKUP(AE33,'S-Verweis'!$C$51:$D$62,2,TRUE)</f>
        <v>10</v>
      </c>
      <c r="AF54" s="14" cm="1">
        <f t="array" ref="AF54">VLOOKUP(AF33,'S-Verweis'!$C$51:$D$62,2,TRUE)</f>
        <v>6</v>
      </c>
      <c r="AG54" s="14" cm="1">
        <f t="array" ref="AG54">VLOOKUP(AG33,'S-Verweis'!$C$51:$D$62,2,TRUE)</f>
        <v>4</v>
      </c>
      <c r="AH54" s="14" cm="1">
        <f t="array" ref="AH54">VLOOKUP(AH33,'S-Verweis'!$C$51:$D$62,2,TRUE)</f>
        <v>3</v>
      </c>
      <c r="AI54" s="14" cm="1">
        <f t="array" ref="AI54">VLOOKUP(AI33,'S-Verweis'!$C$51:$D$62,2,TRUE)</f>
        <v>10</v>
      </c>
      <c r="AJ54" s="14" cm="1">
        <f t="array" ref="AJ54">VLOOKUP(AJ33,'S-Verweis'!$C$51:$D$62,2,TRUE)</f>
        <v>4</v>
      </c>
      <c r="AK54" s="14" cm="1">
        <f t="array" ref="AK54">VLOOKUP(AK33,'S-Verweis'!$C$51:$D$62,2,TRUE)</f>
        <v>3</v>
      </c>
      <c r="AL54" s="14" cm="1">
        <f t="array" ref="AL54">VLOOKUP(AL33,'S-Verweis'!$C$51:$D$62,2,TRUE)</f>
        <v>3</v>
      </c>
      <c r="AM54" s="14" cm="1">
        <f t="array" ref="AM54">VLOOKUP(AM33,'S-Verweis'!$C$51:$D$62,2,TRUE)</f>
        <v>6</v>
      </c>
      <c r="AN54" s="14" cm="1">
        <f t="array" ref="AN54">VLOOKUP(AN33,'S-Verweis'!$C$51:$D$62,2,TRUE)</f>
        <v>0</v>
      </c>
      <c r="AO54" s="14" cm="1">
        <f t="array" ref="AO54">VLOOKUP(AO33,'S-Verweis'!$C$51:$D$62,2,TRUE)</f>
        <v>0</v>
      </c>
      <c r="AP54" s="14" cm="1">
        <f t="array" ref="AP54">VLOOKUP(AP33,'S-Verweis'!$C$51:$D$62,2,TRUE)</f>
        <v>0</v>
      </c>
      <c r="AQ54" s="14" cm="1">
        <f t="array" ref="AQ54">VLOOKUP(AQ33,'S-Verweis'!$C$51:$D$62,2,TRUE)</f>
        <v>2</v>
      </c>
      <c r="AR54" s="14" cm="1">
        <f t="array" ref="AR54">VLOOKUP(AR33,'S-Verweis'!$C$51:$D$62,2,TRUE)</f>
        <v>5</v>
      </c>
      <c r="AS54" s="14" cm="1">
        <f t="array" ref="AS54">VLOOKUP(AS33,'S-Verweis'!$C$51:$D$62,2,TRUE)</f>
        <v>1</v>
      </c>
      <c r="AT54" s="14" cm="1">
        <f t="array" ref="AT54">VLOOKUP(AT33,'S-Verweis'!$C$51:$D$62,2,TRUE)</f>
        <v>0</v>
      </c>
      <c r="AU54" s="14" cm="1">
        <f t="array" ref="AU54">VLOOKUP(AU33,'S-Verweis'!$C$51:$D$62,2,TRUE)</f>
        <v>0</v>
      </c>
    </row>
    <row r="55" ht="32.05" customHeight="1">
      <c r="A55" t="s" s="31">
        <v>237</v>
      </c>
      <c r="B55" s="40" cm="1">
        <f t="array" ref="B55">VLOOKUP(B34,'S-Verweis'!$C$64:$D$72,2,TRUE)</f>
        <v>10</v>
      </c>
      <c r="C55" s="14" cm="1">
        <f t="array" ref="C55">VLOOKUP(C34,'S-Verweis'!$C$64:$D$72,2,TRUE)</f>
        <v>10</v>
      </c>
      <c r="D55" s="14" cm="1">
        <f t="array" ref="D55">VLOOKUP(D34,'S-Verweis'!$C$64:$D$72,2,TRUE)</f>
        <v>10</v>
      </c>
      <c r="E55" s="14" cm="1">
        <f t="array" ref="E55">VLOOKUP(E34,'S-Verweis'!$C$64:$D$72,2,TRUE)</f>
        <v>10</v>
      </c>
      <c r="F55" s="14" cm="1">
        <f t="array" ref="F55">VLOOKUP(F34,'S-Verweis'!$C$64:$D$72,2,TRUE)</f>
        <v>10</v>
      </c>
      <c r="G55" s="14" cm="1">
        <f t="array" ref="G55">VLOOKUP(G34,'S-Verweis'!$C$64:$D$72,2,TRUE)</f>
        <v>3</v>
      </c>
      <c r="H55" s="14" cm="1">
        <f t="array" ref="H55">VLOOKUP(H34,'S-Verweis'!$C$64:$D$72,2,TRUE)</f>
        <v>10</v>
      </c>
      <c r="I55" s="14" cm="1">
        <f t="array" ref="I55">VLOOKUP(I34,'S-Verweis'!$C$64:$D$72,2,TRUE)</f>
        <v>10</v>
      </c>
      <c r="J55" s="14" cm="1">
        <f t="array" ref="J55">VLOOKUP(J34,'S-Verweis'!$C$64:$D$72,2,TRUE)</f>
        <v>8</v>
      </c>
      <c r="K55" s="14" cm="1">
        <f t="array" ref="K55">VLOOKUP(K34,'S-Verweis'!$C$64:$D$72,2,TRUE)</f>
        <v>10</v>
      </c>
      <c r="L55" s="14" cm="1">
        <f t="array" ref="L55">VLOOKUP(L34,'S-Verweis'!$C$64:$D$72,2,TRUE)</f>
        <v>10</v>
      </c>
      <c r="M55" s="14" cm="1">
        <f t="array" ref="M55">VLOOKUP(M34,'S-Verweis'!$C$64:$D$72,2,TRUE)</f>
        <v>8</v>
      </c>
      <c r="N55" s="14" cm="1">
        <f t="array" ref="N55">VLOOKUP(N34,'S-Verweis'!$C$64:$D$72,2,TRUE)</f>
        <v>10</v>
      </c>
      <c r="O55" s="14" cm="1">
        <f t="array" ref="O55">VLOOKUP(O34,'S-Verweis'!$C$64:$D$72,2,TRUE)</f>
        <v>6</v>
      </c>
      <c r="P55" s="14" cm="1">
        <f t="array" ref="P55">VLOOKUP(P34,'S-Verweis'!$C$64:$D$72,2,TRUE)</f>
        <v>4</v>
      </c>
      <c r="Q55" s="14" cm="1">
        <f t="array" ref="Q55">VLOOKUP(Q34,'S-Verweis'!$C$64:$D$72,2,TRUE)</f>
        <v>10</v>
      </c>
      <c r="R55" s="14" cm="1">
        <f t="array" ref="R55">VLOOKUP(R34,'S-Verweis'!$C$64:$D$72,2,TRUE)</f>
        <v>3</v>
      </c>
      <c r="S55" s="14" cm="1">
        <f t="array" ref="S55">VLOOKUP(S34,'S-Verweis'!$C$64:$D$72,2,TRUE)</f>
        <v>10</v>
      </c>
      <c r="T55" s="14" cm="1">
        <f t="array" ref="T55">VLOOKUP(T34,'S-Verweis'!$C$64:$D$72,2,TRUE)</f>
        <v>3</v>
      </c>
      <c r="U55" s="14" cm="1">
        <f t="array" ref="U55">VLOOKUP(U34,'S-Verweis'!$C$64:$D$72,2,TRUE)</f>
        <v>6</v>
      </c>
      <c r="V55" s="14" cm="1">
        <f t="array" ref="V55">VLOOKUP(V34,'S-Verweis'!$C$64:$D$72,2,TRUE)</f>
        <v>10</v>
      </c>
      <c r="W55" s="14" cm="1">
        <f t="array" ref="W55">VLOOKUP(W34,'S-Verweis'!$C$64:$D$72,2,TRUE)</f>
        <v>10</v>
      </c>
      <c r="X55" s="14" cm="1">
        <f t="array" ref="X55">VLOOKUP(X34,'S-Verweis'!$C$64:$D$72,2,TRUE)</f>
        <v>10</v>
      </c>
      <c r="Y55" s="14" cm="1">
        <f t="array" ref="Y55">VLOOKUP(Y34,'S-Verweis'!$C$64:$D$72,2,TRUE)</f>
        <v>6</v>
      </c>
      <c r="Z55" s="14" cm="1">
        <f t="array" ref="Z55">VLOOKUP(Z34,'S-Verweis'!$C$64:$D$72,2,TRUE)</f>
        <v>10</v>
      </c>
      <c r="AA55" s="14" cm="1">
        <f t="array" ref="AA55">VLOOKUP(AA34,'S-Verweis'!$C$64:$D$72,2,TRUE)</f>
        <v>8</v>
      </c>
      <c r="AB55" s="14" cm="1">
        <f t="array" ref="AB55">VLOOKUP(AB34,'S-Verweis'!$C$64:$D$72,2,TRUE)</f>
        <v>10</v>
      </c>
      <c r="AC55" s="14" cm="1">
        <f t="array" ref="AC55">VLOOKUP(AC34,'S-Verweis'!$C$64:$D$72,2,TRUE)</f>
        <v>8</v>
      </c>
      <c r="AD55" s="14" cm="1">
        <f t="array" ref="AD55">VLOOKUP(AD34,'S-Verweis'!$C$64:$D$72,2,TRUE)</f>
        <v>4</v>
      </c>
      <c r="AE55" s="14" cm="1">
        <f t="array" ref="AE55">VLOOKUP(AE34,'S-Verweis'!$C$64:$D$72,2,TRUE)</f>
        <v>4</v>
      </c>
      <c r="AF55" s="14" cm="1">
        <f t="array" ref="AF55">VLOOKUP(AF34,'S-Verweis'!$C$64:$D$72,2,TRUE)</f>
        <v>4</v>
      </c>
      <c r="AG55" s="14" cm="1">
        <f t="array" ref="AG55">VLOOKUP(AG34,'S-Verweis'!$C$64:$D$72,2,TRUE)</f>
        <v>4</v>
      </c>
      <c r="AH55" s="14" cm="1">
        <f t="array" ref="AH55">VLOOKUP(AH34,'S-Verweis'!$C$64:$D$72,2,TRUE)</f>
        <v>4</v>
      </c>
      <c r="AI55" s="14" cm="1">
        <f t="array" ref="AI55">VLOOKUP(AI34,'S-Verweis'!$C$64:$D$72,2,TRUE)</f>
        <v>10</v>
      </c>
      <c r="AJ55" s="14" cm="1">
        <f t="array" ref="AJ55">VLOOKUP(AJ34,'S-Verweis'!$C$64:$D$72,2,TRUE)</f>
        <v>6</v>
      </c>
      <c r="AK55" s="14" cm="1">
        <f t="array" ref="AK55">VLOOKUP(AK34,'S-Verweis'!$C$64:$D$72,2,TRUE)</f>
        <v>4</v>
      </c>
      <c r="AL55" s="14" cm="1">
        <f t="array" ref="AL55">VLOOKUP(AL34,'S-Verweis'!$C$64:$D$72,2,TRUE)</f>
        <v>4</v>
      </c>
      <c r="AM55" s="14" cm="1">
        <f t="array" ref="AM55">VLOOKUP(AM34,'S-Verweis'!$C$64:$D$72,2,TRUE)</f>
        <v>8</v>
      </c>
      <c r="AN55" s="14" cm="1">
        <f t="array" ref="AN55">VLOOKUP(AN34,'S-Verweis'!$C$64:$D$72,2,TRUE)</f>
        <v>0</v>
      </c>
      <c r="AO55" s="14" cm="1">
        <f t="array" ref="AO55">VLOOKUP(AO34,'S-Verweis'!$C$64:$D$72,2,TRUE)</f>
        <v>0</v>
      </c>
      <c r="AP55" s="14" cm="1">
        <f t="array" ref="AP55">VLOOKUP(AP34,'S-Verweis'!$C$64:$D$72,2,TRUE)</f>
        <v>0</v>
      </c>
      <c r="AQ55" s="14" cm="1">
        <f t="array" ref="AQ55">VLOOKUP(AQ34,'S-Verweis'!$C$64:$D$72,2,TRUE)</f>
        <v>4</v>
      </c>
      <c r="AR55" s="14" cm="1">
        <f t="array" ref="AR55">VLOOKUP(AR34,'S-Verweis'!$C$64:$D$72,2,TRUE)</f>
        <v>6</v>
      </c>
      <c r="AS55" s="14" cm="1">
        <f t="array" ref="AS55">VLOOKUP(AS34,'S-Verweis'!$C$64:$D$72,2,TRUE)</f>
        <v>3</v>
      </c>
      <c r="AT55" s="14" cm="1">
        <f t="array" ref="AT55">VLOOKUP(AT34,'S-Verweis'!$C$64:$D$72,2,TRUE)</f>
        <v>0</v>
      </c>
      <c r="AU55" s="14" cm="1">
        <f t="array" ref="AU55">VLOOKUP(AU34,'S-Verweis'!$C$64:$D$72,2,TRUE)</f>
        <v>0</v>
      </c>
    </row>
    <row r="56" ht="20.05" customHeight="1">
      <c r="A56" t="s" s="31">
        <v>238</v>
      </c>
      <c r="B56" s="40" cm="1">
        <f t="array" ref="B56">VLOOKUP(B22,'S-Verweis'!$C$74:$D$85,2,TRUE)</f>
        <v>9</v>
      </c>
      <c r="C56" s="14" cm="1">
        <f t="array" ref="C56">VLOOKUP(C22,'S-Verweis'!$C$74:$D$85,2,TRUE)</f>
        <v>9</v>
      </c>
      <c r="D56" s="14" cm="1">
        <f t="array" ref="D56">VLOOKUP(D22,'S-Verweis'!$C$74:$D$85,2,TRUE)</f>
        <v>9</v>
      </c>
      <c r="E56" s="14" cm="1">
        <f t="array" ref="E56">VLOOKUP(E22,'S-Verweis'!$C$74:$D$85,2,TRUE)</f>
        <v>10</v>
      </c>
      <c r="F56" s="14" cm="1">
        <f t="array" ref="F56">VLOOKUP(F22,'S-Verweis'!$C$74:$D$85,2,TRUE)</f>
        <v>10</v>
      </c>
      <c r="G56" s="14" cm="1">
        <f t="array" ref="G56">VLOOKUP(G22,'S-Verweis'!$C$74:$D$85,2,TRUE)</f>
        <v>10</v>
      </c>
      <c r="H56" s="14" cm="1">
        <f t="array" ref="H56">VLOOKUP(H22,'S-Verweis'!$C$74:$D$85,2,TRUE)</f>
        <v>8</v>
      </c>
      <c r="I56" s="14" cm="1">
        <f t="array" ref="I56">VLOOKUP(I22,'S-Verweis'!$C$74:$D$85,2,TRUE)</f>
        <v>8</v>
      </c>
      <c r="J56" s="14" cm="1">
        <f t="array" ref="J56">VLOOKUP(J22,'S-Verweis'!$C$74:$D$85,2,TRUE)</f>
        <v>10</v>
      </c>
      <c r="K56" s="14" cm="1">
        <f t="array" ref="K56">VLOOKUP(K22,'S-Verweis'!$C$74:$D$85,2,TRUE)</f>
        <v>5</v>
      </c>
      <c r="L56" s="14" cm="1">
        <f t="array" ref="L56">VLOOKUP(L22,'S-Verweis'!$C$74:$D$85,2,TRUE)</f>
        <v>3</v>
      </c>
      <c r="M56" s="14" cm="1">
        <f t="array" ref="M56">VLOOKUP(M22,'S-Verweis'!$C$74:$D$85,2,TRUE)</f>
        <v>8</v>
      </c>
      <c r="N56" s="14" cm="1">
        <f t="array" ref="N56">VLOOKUP(N22,'S-Verweis'!$C$74:$D$85,2,TRUE)</f>
        <v>6</v>
      </c>
      <c r="O56" s="14" cm="1">
        <f t="array" ref="O56">VLOOKUP(O22,'S-Verweis'!$C$74:$D$85,2,TRUE)</f>
        <v>9</v>
      </c>
      <c r="P56" s="14" cm="1">
        <f t="array" ref="P56">VLOOKUP(P22,'S-Verweis'!$C$74:$D$85,2,TRUE)</f>
        <v>9</v>
      </c>
      <c r="Q56" s="14" cm="1">
        <f t="array" ref="Q56">VLOOKUP(Q22,'S-Verweis'!$C$74:$D$85,2,TRUE)</f>
        <v>8</v>
      </c>
      <c r="R56" s="14" cm="1">
        <f t="array" ref="R56">VLOOKUP(R22,'S-Verweis'!$C$74:$D$85,2,TRUE)</f>
        <v>2</v>
      </c>
      <c r="S56" s="14" cm="1">
        <f t="array" ref="S56">VLOOKUP(S22,'S-Verweis'!$C$74:$D$85,2,TRUE)</f>
        <v>10</v>
      </c>
      <c r="T56" s="14" cm="1">
        <f t="array" ref="T56">VLOOKUP(T22,'S-Verweis'!$C$74:$D$85,2,TRUE)</f>
        <v>9</v>
      </c>
      <c r="U56" s="14" cm="1">
        <f t="array" ref="U56">VLOOKUP(U22,'S-Verweis'!$C$74:$D$85,2,TRUE)</f>
        <v>8</v>
      </c>
      <c r="V56" s="14" cm="1">
        <f t="array" ref="V56">VLOOKUP(V22,'S-Verweis'!$C$74:$D$85,2,TRUE)</f>
        <v>9</v>
      </c>
      <c r="W56" s="14" cm="1">
        <f t="array" ref="W56">VLOOKUP(W22,'S-Verweis'!$C$74:$D$85,2,TRUE)</f>
        <v>6</v>
      </c>
      <c r="X56" s="14" cm="1">
        <f t="array" ref="X56">VLOOKUP(X22,'S-Verweis'!$C$74:$D$85,2,TRUE)</f>
        <v>10</v>
      </c>
      <c r="Y56" s="14" cm="1">
        <f t="array" ref="Y56">VLOOKUP(Y22,'S-Verweis'!$C$74:$D$85,2,TRUE)</f>
        <v>10</v>
      </c>
      <c r="Z56" s="14" cm="1">
        <f t="array" ref="Z56">VLOOKUP(Z22,'S-Verweis'!$C$74:$D$85,2,TRUE)</f>
        <v>10</v>
      </c>
      <c r="AA56" s="14" cm="1">
        <f t="array" ref="AA56">VLOOKUP(AA22,'S-Verweis'!$C$74:$D$85,2,TRUE)</f>
        <v>0</v>
      </c>
      <c r="AB56" s="14" cm="1">
        <f t="array" ref="AB56">VLOOKUP(AB22,'S-Verweis'!$C$74:$D$85,2,TRUE)</f>
        <v>7</v>
      </c>
      <c r="AC56" s="14" cm="1">
        <f t="array" ref="AC56">VLOOKUP(AC22,'S-Verweis'!$C$74:$D$85,2,TRUE)</f>
        <v>9</v>
      </c>
      <c r="AD56" s="14" cm="1">
        <f t="array" ref="AD56">VLOOKUP(AD22,'S-Verweis'!$C$74:$D$85,2,TRUE)</f>
        <v>6</v>
      </c>
      <c r="AE56" s="14" cm="1">
        <f t="array" ref="AE56">VLOOKUP(AE22,'S-Verweis'!$C$74:$D$85,2,TRUE)</f>
        <v>7</v>
      </c>
      <c r="AF56" s="14" cm="1">
        <f t="array" ref="AF56">VLOOKUP(AF22,'S-Verweis'!$C$74:$D$85,2,TRUE)</f>
        <v>10</v>
      </c>
      <c r="AG56" s="14" cm="1">
        <f t="array" ref="AG56">VLOOKUP(AG22,'S-Verweis'!$C$74:$D$85,2,TRUE)</f>
        <v>9</v>
      </c>
      <c r="AH56" s="14" cm="1">
        <f t="array" ref="AH56">VLOOKUP(AH22,'S-Verweis'!$C$74:$D$85,2,TRUE)</f>
        <v>9</v>
      </c>
      <c r="AI56" s="14" cm="1">
        <f t="array" ref="AI56">VLOOKUP(AI22,'S-Verweis'!$C$74:$D$85,2,TRUE)</f>
        <v>5</v>
      </c>
      <c r="AJ56" s="14" cm="1">
        <f t="array" ref="AJ56">VLOOKUP(AJ22,'S-Verweis'!$C$74:$D$85,2,TRUE)</f>
        <v>9</v>
      </c>
      <c r="AK56" s="14" cm="1">
        <f t="array" ref="AK56">VLOOKUP(AK22,'S-Verweis'!$C$74:$D$85,2,TRUE)</f>
        <v>8</v>
      </c>
      <c r="AL56" s="14" cm="1">
        <f t="array" ref="AL56">VLOOKUP(AL22,'S-Verweis'!$C$74:$D$85,2,TRUE)</f>
        <v>3</v>
      </c>
      <c r="AM56" s="14" cm="1">
        <f t="array" ref="AM56">VLOOKUP(AM22,'S-Verweis'!$C$74:$D$85,2,TRUE)</f>
        <v>4</v>
      </c>
      <c r="AN56" s="14" cm="1">
        <f t="array" ref="AN56">VLOOKUP(AN22,'S-Verweis'!$C$74:$D$85,2,TRUE)</f>
        <v>10</v>
      </c>
      <c r="AO56" s="14" cm="1">
        <f t="array" ref="AO56">VLOOKUP(AO22,'S-Verweis'!$C$74:$D$85,2,TRUE)</f>
        <v>10</v>
      </c>
      <c r="AP56" s="14" cm="1">
        <f t="array" ref="AP56">VLOOKUP(AP22,'S-Verweis'!$C$74:$D$85,2,TRUE)</f>
        <v>10</v>
      </c>
      <c r="AQ56" s="14" cm="1">
        <f t="array" ref="AQ56">VLOOKUP(AQ22,'S-Verweis'!$C$74:$D$85,2,TRUE)</f>
        <v>9</v>
      </c>
      <c r="AR56" s="14" cm="1">
        <f t="array" ref="AR56">VLOOKUP(AR22,'S-Verweis'!$C$74:$D$85,2,TRUE)</f>
        <v>4</v>
      </c>
      <c r="AS56" s="14" cm="1">
        <f t="array" ref="AS56">VLOOKUP(AS22,'S-Verweis'!$C$74:$D$85,2,TRUE)</f>
        <v>5</v>
      </c>
      <c r="AT56" s="14" cm="1">
        <f t="array" ref="AT56">VLOOKUP(AT22,'S-Verweis'!$C$74:$D$85,2,TRUE)</f>
        <v>10</v>
      </c>
      <c r="AU56" s="14" cm="1">
        <f t="array" ref="AU56">VLOOKUP(AU22,'S-Verweis'!$C$74:$D$85,2,TRUE)</f>
        <v>10</v>
      </c>
    </row>
    <row r="57" ht="32.05" customHeight="1">
      <c r="A57" t="s" s="31">
        <v>239</v>
      </c>
      <c r="B57" s="40" cm="1">
        <f t="array" ref="B57">VLOOKUP(B20,'S-Verweis'!$C$87:$D$96,2,TRUE)</f>
        <v>7</v>
      </c>
      <c r="C57" s="14" cm="1">
        <f t="array" ref="C57">VLOOKUP(C20,'S-Verweis'!$C$87:$D$96,2,TRUE)</f>
        <v>7</v>
      </c>
      <c r="D57" s="14" cm="1">
        <f t="array" ref="D57">VLOOKUP(D20,'S-Verweis'!$C$87:$D$96,2,TRUE)</f>
        <v>7</v>
      </c>
      <c r="E57" s="14" cm="1">
        <f t="array" ref="E57">VLOOKUP(E20,'S-Verweis'!$C$87:$D$96,2,TRUE)</f>
        <v>9</v>
      </c>
      <c r="F57" s="14" cm="1">
        <f t="array" ref="F57">VLOOKUP(F20,'S-Verweis'!$C$87:$D$96,2,TRUE)</f>
        <v>7</v>
      </c>
      <c r="G57" s="14" cm="1">
        <f t="array" ref="G57">VLOOKUP(G20,'S-Verweis'!$C$87:$D$96,2,TRUE)</f>
        <v>10</v>
      </c>
      <c r="H57" s="14" cm="1">
        <f t="array" ref="H57">VLOOKUP(H20,'S-Verweis'!$C$87:$D$96,2,TRUE)</f>
        <v>10</v>
      </c>
      <c r="I57" s="14" cm="1">
        <f t="array" ref="I57">VLOOKUP(I20,'S-Verweis'!$C$87:$D$96,2,TRUE)</f>
        <v>8</v>
      </c>
      <c r="J57" s="14" cm="1">
        <f t="array" ref="J57">VLOOKUP(J20,'S-Verweis'!$C$87:$D$96,2,TRUE)</f>
        <v>10</v>
      </c>
      <c r="K57" s="14" cm="1">
        <f t="array" ref="K57">VLOOKUP(K20,'S-Verweis'!$C$87:$D$96,2,TRUE)</f>
        <v>9</v>
      </c>
      <c r="L57" s="14" cm="1">
        <f t="array" ref="L57">VLOOKUP(L20,'S-Verweis'!$C$87:$D$96,2,TRUE)</f>
        <v>6</v>
      </c>
      <c r="M57" s="14" cm="1">
        <f t="array" ref="M57">VLOOKUP(M20,'S-Verweis'!$C$87:$D$96,2,TRUE)</f>
        <v>8</v>
      </c>
      <c r="N57" s="14" cm="1">
        <f t="array" ref="N57">VLOOKUP(N20,'S-Verweis'!$C$87:$D$96,2,TRUE)</f>
        <v>10</v>
      </c>
      <c r="O57" s="14" cm="1">
        <f t="array" ref="O57">VLOOKUP(O20,'S-Verweis'!$C$87:$D$96,2,TRUE)</f>
        <v>8</v>
      </c>
      <c r="P57" s="14" cm="1">
        <f t="array" ref="P57">VLOOKUP(P20,'S-Verweis'!$C$87:$D$96,2,TRUE)</f>
        <v>8</v>
      </c>
      <c r="Q57" s="14" cm="1">
        <f t="array" ref="Q57">VLOOKUP(Q20,'S-Verweis'!$C$87:$D$96,2,TRUE)</f>
        <v>7</v>
      </c>
      <c r="R57" s="14" cm="1">
        <f t="array" ref="R57">VLOOKUP(R20,'S-Verweis'!$C$87:$D$96,2,TRUE)</f>
        <v>7</v>
      </c>
      <c r="S57" s="14" cm="1">
        <f t="array" ref="S57">VLOOKUP(S20,'S-Verweis'!$C$87:$D$96,2,TRUE)</f>
        <v>4</v>
      </c>
      <c r="T57" s="14" cm="1">
        <f t="array" ref="T57">VLOOKUP(T20,'S-Verweis'!$C$87:$D$96,2,TRUE)</f>
        <v>6</v>
      </c>
      <c r="U57" s="14" cm="1">
        <f t="array" ref="U57">VLOOKUP(U20,'S-Verweis'!$C$87:$D$96,2,TRUE)</f>
        <v>7</v>
      </c>
      <c r="V57" s="14" cm="1">
        <f t="array" ref="V57">VLOOKUP(V20,'S-Verweis'!$C$87:$D$96,2,TRUE)</f>
        <v>10</v>
      </c>
      <c r="W57" s="14" cm="1">
        <f t="array" ref="W57">VLOOKUP(W20,'S-Verweis'!$C$87:$D$96,2,TRUE)</f>
        <v>10</v>
      </c>
      <c r="X57" s="14" cm="1">
        <f t="array" ref="X57">VLOOKUP(X20,'S-Verweis'!$C$87:$D$96,2,TRUE)</f>
        <v>7</v>
      </c>
      <c r="Y57" s="14" cm="1">
        <f t="array" ref="Y57">VLOOKUP(Y20,'S-Verweis'!$C$87:$D$96,2,TRUE)</f>
        <v>8</v>
      </c>
      <c r="Z57" s="14" cm="1">
        <f t="array" ref="Z57">VLOOKUP(Z20,'S-Verweis'!$C$87:$D$96,2,TRUE)</f>
        <v>10</v>
      </c>
      <c r="AA57" s="14" cm="1">
        <f t="array" ref="AA57">VLOOKUP(AA20,'S-Verweis'!$C$87:$D$96,2,TRUE)</f>
        <v>7</v>
      </c>
      <c r="AB57" s="14" cm="1">
        <f t="array" ref="AB57">VLOOKUP(AB20,'S-Verweis'!$C$87:$D$96,2,TRUE)</f>
        <v>7</v>
      </c>
      <c r="AC57" s="14" cm="1">
        <f t="array" ref="AC57">VLOOKUP(AC20,'S-Verweis'!$C$87:$D$96,2,TRUE)</f>
        <v>8</v>
      </c>
      <c r="AD57" s="14" cm="1">
        <f t="array" ref="AD57">VLOOKUP(AD20,'S-Verweis'!$C$87:$D$96,2,TRUE)</f>
        <v>9</v>
      </c>
      <c r="AE57" s="14" cm="1">
        <f t="array" ref="AE57">VLOOKUP(AE20,'S-Verweis'!$C$87:$D$96,2,TRUE)</f>
        <v>6</v>
      </c>
      <c r="AF57" s="14" cm="1">
        <f t="array" ref="AF57">VLOOKUP(AF20,'S-Verweis'!$C$87:$D$96,2,TRUE)</f>
        <v>7</v>
      </c>
      <c r="AG57" s="14" cm="1">
        <f t="array" ref="AG57">VLOOKUP(AG20,'S-Verweis'!$C$87:$D$96,2,TRUE)</f>
        <v>6</v>
      </c>
      <c r="AH57" s="14" cm="1">
        <f t="array" ref="AH57">VLOOKUP(AH20,'S-Verweis'!$C$87:$D$96,2,TRUE)</f>
        <v>7</v>
      </c>
      <c r="AI57" s="14" cm="1">
        <f t="array" ref="AI57">VLOOKUP(AI20,'S-Verweis'!$C$87:$D$96,2,TRUE)</f>
        <v>10</v>
      </c>
      <c r="AJ57" s="14" cm="1">
        <f t="array" ref="AJ57">VLOOKUP(AJ20,'S-Verweis'!$C$87:$D$96,2,TRUE)</f>
        <v>7</v>
      </c>
      <c r="AK57" s="14" cm="1">
        <f t="array" ref="AK57">VLOOKUP(AK20,'S-Verweis'!$C$87:$D$96,2,TRUE)</f>
        <v>8</v>
      </c>
      <c r="AL57" s="14" cm="1">
        <f t="array" ref="AL57">VLOOKUP(AL20,'S-Verweis'!$C$87:$D$96,2,TRUE)</f>
        <v>8</v>
      </c>
      <c r="AM57" s="14" cm="1">
        <f t="array" ref="AM57">VLOOKUP(AM20,'S-Verweis'!$C$87:$D$96,2,TRUE)</f>
        <v>8</v>
      </c>
      <c r="AN57" s="14" cm="1">
        <f t="array" ref="AN57">VLOOKUP(AN20,'S-Verweis'!$C$87:$D$96,2,TRUE)</f>
        <v>10</v>
      </c>
      <c r="AO57" s="14" cm="1">
        <f t="array" ref="AO57">VLOOKUP(AO20,'S-Verweis'!$C$87:$D$96,2,TRUE)</f>
        <v>9</v>
      </c>
      <c r="AP57" s="14" cm="1">
        <f t="array" ref="AP57">VLOOKUP(AP20,'S-Verweis'!$C$87:$D$96,2,TRUE)</f>
        <v>9</v>
      </c>
      <c r="AQ57" s="14" cm="1">
        <f t="array" ref="AQ57">VLOOKUP(AQ20,'S-Verweis'!$C$87:$D$96,2,TRUE)</f>
        <v>2</v>
      </c>
      <c r="AR57" s="14" cm="1">
        <f t="array" ref="AR57">VLOOKUP(AR20,'S-Verweis'!$C$87:$D$96,2,TRUE)</f>
        <v>8</v>
      </c>
      <c r="AS57" s="14" cm="1">
        <f t="array" ref="AS57">VLOOKUP(AS20,'S-Verweis'!$C$87:$D$96,2,TRUE)</f>
        <v>8</v>
      </c>
      <c r="AT57" s="14" cm="1">
        <f t="array" ref="AT57">VLOOKUP(AT20,'S-Verweis'!$C$87:$D$96,2,TRUE)</f>
        <v>10</v>
      </c>
      <c r="AU57" s="14" cm="1">
        <f t="array" ref="AU57">VLOOKUP(AU20,'S-Verweis'!$C$87:$D$96,2,TRUE)</f>
        <v>7</v>
      </c>
    </row>
    <row r="58" ht="20.05" customHeight="1">
      <c r="A58" t="s" s="41">
        <v>240</v>
      </c>
      <c r="B58" s="42" cm="1">
        <f t="array" ref="B58">B50*25+B51*20+B52*15+B53*10+B54*10+B55*10+B56*5+B57*5</f>
        <v>955</v>
      </c>
      <c r="C58" s="43" cm="1">
        <f t="array" ref="C58">C50*25+C51*20+C52*15+C53*10+C54*10+C55*10+C56*5+C57*5</f>
        <v>940</v>
      </c>
      <c r="D58" s="43" cm="1">
        <f t="array" ref="D58">D50*25+D51*20+D52*15+D53*10+D54*10+D55*10+D56*5+D57*5</f>
        <v>930</v>
      </c>
      <c r="E58" s="43" cm="1">
        <f t="array" ref="E58">E50*25+E51*20+E52*15+E53*10+E54*10+E55*10+E56*5+E57*5</f>
        <v>915</v>
      </c>
      <c r="F58" s="43" cm="1">
        <f t="array" ref="F58">F50*25+F51*20+F52*15+F53*10+F54*10+F55*10+F56*5+F57*5</f>
        <v>900</v>
      </c>
      <c r="G58" s="43" cm="1">
        <f t="array" ref="G58">G50*25+G51*20+G52*15+G53*10+G54*10+G55*10+G56*5+G57*5</f>
        <v>890</v>
      </c>
      <c r="H58" s="43" cm="1">
        <f t="array" ref="H58">H50*25+H51*20+H52*15+H53*10+H54*10+H55*10+H56*5+H57*5</f>
        <v>835</v>
      </c>
      <c r="I58" s="43" cm="1">
        <f t="array" ref="I58">I50*25+I51*20+I52*15+I53*10+I54*10+I55*10+I56*5+I57*5</f>
        <v>820</v>
      </c>
      <c r="J58" s="43" cm="1">
        <f t="array" ref="J58">J50*25+J51*20+J52*15+J53*10+J54*10+J55*10+J56*5+J57*5</f>
        <v>820</v>
      </c>
      <c r="K58" s="43" cm="1">
        <f t="array" ref="K58">K50*25+K51*20+K52*15+K53*10+K54*10+K55*10+K56*5+K57*5</f>
        <v>780</v>
      </c>
      <c r="L58" s="43" cm="1">
        <f t="array" ref="L58">L50*25+L51*20+L52*15+L53*10+L54*10+L55*10+L56*5+L57*5</f>
        <v>775</v>
      </c>
      <c r="M58" s="43" cm="1">
        <f t="array" ref="M58">M50*25+M51*20+M52*15+M53*10+M54*10+M55*10+M56*5+M57*5</f>
        <v>775</v>
      </c>
      <c r="N58" s="43" cm="1">
        <f t="array" ref="N58">N50*25+N51*20+N52*15+N53*10+N54*10+N55*10+N56*5+N57*5</f>
        <v>765</v>
      </c>
      <c r="O58" s="43" cm="1">
        <f t="array" ref="O58">O50*25+O51*20+O52*15+O53*10+O54*10+O55*10+O56*5+O57*5</f>
        <v>760</v>
      </c>
      <c r="P58" s="43" cm="1">
        <f t="array" ref="P58">P50*25+P51*20+P52*15+P53*10+P54*10+P55*10+P56*5+P57*5</f>
        <v>760</v>
      </c>
      <c r="Q58" s="43" cm="1">
        <f t="array" ref="Q58">Q50*25+Q51*20+Q52*15+Q53*10+Q54*10+Q55*10+Q56*5+Q57*5</f>
        <v>740</v>
      </c>
      <c r="R58" s="43" cm="1">
        <f t="array" ref="R58">R50*25+R51*20+R52*15+R53*10+R54*10+R55*10+R56*5+R57*5</f>
        <v>740</v>
      </c>
      <c r="S58" s="43" cm="1">
        <f t="array" ref="S58">S50*25+S51*20+S52*15+S53*10+S54*10+S55*10+S56*5+S57*5</f>
        <v>740</v>
      </c>
      <c r="T58" s="43" cm="1">
        <f t="array" ref="T58">T50*25+T51*20+T52*15+T53*10+T54*10+T55*10+T56*5+T57*5</f>
        <v>735</v>
      </c>
      <c r="U58" s="43" cm="1">
        <f t="array" ref="U58">U50*25+U51*20+U52*15+U53*10+U54*10+U55*10+U56*5+U57*5</f>
        <v>735</v>
      </c>
      <c r="V58" s="43" cm="1">
        <f t="array" ref="V58">V50*25+V51*20+V52*15+V53*10+V54*10+V55*10+V56*5+V57*5</f>
        <v>725</v>
      </c>
      <c r="W58" s="43" cm="1">
        <f t="array" ref="W58">W50*25+W51*20+W52*15+W53*10+W54*10+W55*10+W56*5+W57*5</f>
        <v>705</v>
      </c>
      <c r="X58" s="43" cm="1">
        <f t="array" ref="X58">X50*25+X51*20+X52*15+X53*10+X54*10+X55*10+X56*5+X57*5</f>
        <v>700</v>
      </c>
      <c r="Y58" s="43" cm="1">
        <f t="array" ref="Y58">Y50*25+Y51*20+Y52*15+Y53*10+Y54*10+Y55*10+Y56*5+Y57*5</f>
        <v>680</v>
      </c>
      <c r="Z58" s="43" cm="1">
        <f t="array" ref="Z58">Z50*25+Z51*20+Z52*15+Z53*10+Z54*10+Z55*10+Z56*5+Z57*5</f>
        <v>670</v>
      </c>
      <c r="AA58" s="43" cm="1">
        <f t="array" ref="AA58">AA50*25+AA51*20+AA52*15+AA53*10+AA54*10+AA55*10+AA56*5+AA57*5</f>
        <v>625</v>
      </c>
      <c r="AB58" s="43" cm="1">
        <f t="array" ref="AB58">AB50*25+AB51*20+AB52*15+AB53*10+AB54*10+AB55*10+AB56*5+AB57*5</f>
        <v>625</v>
      </c>
      <c r="AC58" s="43" cm="1">
        <f t="array" ref="AC58">AC50*25+AC51*20+AC52*15+AC53*10+AC54*10+AC55*10+AC56*5+AC57*5</f>
        <v>610</v>
      </c>
      <c r="AD58" s="43" cm="1">
        <f t="array" ref="AD58">AD50*25+AD51*20+AD52*15+AD53*10+AD54*10+AD55*10+AD56*5+AD57*5</f>
        <v>600</v>
      </c>
      <c r="AE58" s="43" cm="1">
        <f t="array" ref="AE58">AE50*25+AE51*20+AE52*15+AE53*10+AE54*10+AE55*10+AE56*5+AE57*5</f>
        <v>595</v>
      </c>
      <c r="AF58" s="43" cm="1">
        <f t="array" ref="AF58">AF50*25+AF51*20+AF52*15+AF53*10+AF54*10+AF55*10+AF56*5+AF57*5</f>
        <v>565</v>
      </c>
      <c r="AG58" s="43" cm="1">
        <f t="array" ref="AG58">AG50*25+AG51*20+AG52*15+AG53*10+AG54*10+AG55*10+AG56*5+AG57*5</f>
        <v>535</v>
      </c>
      <c r="AH58" s="43" cm="1">
        <f t="array" ref="AH58">AH50*25+AH51*20+AH52*15+AH53*10+AH54*10+AH55*10+AH56*5+AH57*5</f>
        <v>530</v>
      </c>
      <c r="AI58" s="43" cm="1">
        <f t="array" ref="AI58">AI50*25+AI51*20+AI52*15+AI53*10+AI54*10+AI55*10+AI56*5+AI57*5</f>
        <v>525</v>
      </c>
      <c r="AJ58" s="43" cm="1">
        <f t="array" ref="AJ58">AJ50*25+AJ51*20+AJ52*15+AJ53*10+AJ54*10+AJ55*10+AJ56*5+AJ57*5</f>
        <v>460</v>
      </c>
      <c r="AK58" s="43" cm="1">
        <f t="array" ref="AK58">AK50*25+AK51*20+AK52*15+AK53*10+AK54*10+AK55*10+AK56*5+AK57*5</f>
        <v>445</v>
      </c>
      <c r="AL58" s="43" cm="1">
        <f t="array" ref="AL58">AL50*25+AL51*20+AL52*15+AL53*10+AL54*10+AL55*10+AL56*5+AL57*5</f>
        <v>430</v>
      </c>
      <c r="AM58" s="43" cm="1">
        <f t="array" ref="AM58">AM50*25+AM51*20+AM52*15+AM53*10+AM54*10+AM55*10+AM56*5+AM57*5</f>
        <v>395</v>
      </c>
      <c r="AN58" s="43" cm="1">
        <f t="array" ref="AN58">AN50*25+AN51*20+AN52*15+AN53*10+AN54*10+AN55*10+AN56*5+AN57*5</f>
        <v>350</v>
      </c>
      <c r="AO58" s="43" cm="1">
        <f t="array" ref="AO58">AO50*25+AO51*20+AO52*15+AO53*10+AO54*10+AO55*10+AO56*5+AO57*5</f>
        <v>345</v>
      </c>
      <c r="AP58" s="43" cm="1">
        <f t="array" ref="AP58">AP50*25+AP51*20+AP52*15+AP53*10+AP54*10+AP55*10+AP56*5+AP57*5</f>
        <v>345</v>
      </c>
      <c r="AQ58" s="43" cm="1">
        <f t="array" ref="AQ58">AQ50*25+AQ51*20+AQ52*15+AQ53*10+AQ54*10+AQ55*10+AQ56*5+AQ57*5</f>
        <v>335</v>
      </c>
      <c r="AR58" s="43" cm="1">
        <f t="array" ref="AR58">AR50*25+AR51*20+AR52*15+AR53*10+AR54*10+AR55*10+AR56*5+AR57*5</f>
        <v>310</v>
      </c>
      <c r="AS58" s="43" cm="1">
        <f t="array" ref="AS58">AS50*25+AS51*20+AS52*15+AS53*10+AS54*10+AS55*10+AS56*5+AS57*5</f>
        <v>295</v>
      </c>
      <c r="AT58" s="43" cm="1">
        <f t="array" ref="AT58">AT50*25+AT51*20+AT52*15+AT53*10+AT54*10+AT55*10+AT56*5+AT57*5</f>
        <v>275</v>
      </c>
      <c r="AU58" s="43" cm="1">
        <f t="array" ref="AU58">AU50*25+AU51*20+AU52*15+AU53*10+AU54*10+AU55*10+AU56*5+AU57*5</f>
        <v>260</v>
      </c>
    </row>
  </sheetData>
  <mergeCells count="1">
    <mergeCell ref="A1:AU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9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4" width="16.3516" style="47" customWidth="1"/>
    <col min="5" max="16384" width="16.3516" style="47" customWidth="1"/>
  </cols>
  <sheetData>
    <row r="1" ht="27.65" customHeight="1">
      <c r="A1" t="s" s="2">
        <v>242</v>
      </c>
      <c r="B1" s="2"/>
      <c r="C1" s="2"/>
      <c r="D1" s="2"/>
    </row>
    <row r="2" ht="20.25" customHeight="1">
      <c r="A2" s="3"/>
      <c r="B2" s="3"/>
      <c r="C2" s="3"/>
      <c r="D2" s="3"/>
    </row>
    <row r="3" ht="20.25" customHeight="1">
      <c r="A3" s="48"/>
      <c r="B3" t="s" s="49">
        <v>243</v>
      </c>
      <c r="C3" t="s" s="50">
        <v>244</v>
      </c>
      <c r="D3" t="s" s="50">
        <v>245</v>
      </c>
    </row>
    <row r="4" ht="20.05" customHeight="1">
      <c r="A4" s="51"/>
      <c r="B4" s="20"/>
      <c r="C4" s="14">
        <v>0</v>
      </c>
      <c r="D4" s="14">
        <v>0</v>
      </c>
    </row>
    <row r="5" ht="20.05" customHeight="1">
      <c r="A5" s="51"/>
      <c r="B5" s="20"/>
      <c r="C5" s="14">
        <v>66</v>
      </c>
      <c r="D5" s="14">
        <v>2</v>
      </c>
    </row>
    <row r="6" ht="20.05" customHeight="1">
      <c r="A6" s="51"/>
      <c r="B6" s="20"/>
      <c r="C6" s="14">
        <v>68</v>
      </c>
      <c r="D6" s="14">
        <v>3</v>
      </c>
    </row>
    <row r="7" ht="20.05" customHeight="1">
      <c r="A7" s="51"/>
      <c r="B7" s="20"/>
      <c r="C7" s="14">
        <v>70</v>
      </c>
      <c r="D7" s="14">
        <v>4</v>
      </c>
    </row>
    <row r="8" ht="20.05" customHeight="1">
      <c r="A8" s="51"/>
      <c r="B8" s="20"/>
      <c r="C8" s="14">
        <v>72</v>
      </c>
      <c r="D8" s="14">
        <v>5</v>
      </c>
    </row>
    <row r="9" ht="20.05" customHeight="1">
      <c r="A9" s="51"/>
      <c r="B9" s="20"/>
      <c r="C9" s="14">
        <v>74</v>
      </c>
      <c r="D9" s="14">
        <v>6</v>
      </c>
    </row>
    <row r="10" ht="20.05" customHeight="1">
      <c r="A10" s="51"/>
      <c r="B10" s="20"/>
      <c r="C10" s="14">
        <v>76</v>
      </c>
      <c r="D10" s="14">
        <v>7</v>
      </c>
    </row>
    <row r="11" ht="20.05" customHeight="1">
      <c r="A11" s="51"/>
      <c r="B11" s="20"/>
      <c r="C11" s="14">
        <v>78</v>
      </c>
      <c r="D11" s="14">
        <v>8</v>
      </c>
    </row>
    <row r="12" ht="20.05" customHeight="1">
      <c r="A12" s="51"/>
      <c r="B12" s="20"/>
      <c r="C12" s="14">
        <v>80</v>
      </c>
      <c r="D12" s="14">
        <v>9</v>
      </c>
    </row>
    <row r="13" ht="20.05" customHeight="1">
      <c r="A13" s="51"/>
      <c r="B13" s="20"/>
      <c r="C13" s="14">
        <v>82</v>
      </c>
      <c r="D13" s="14">
        <v>10</v>
      </c>
    </row>
    <row r="14" ht="20.05" customHeight="1">
      <c r="A14" s="51"/>
      <c r="B14" s="20"/>
      <c r="C14" s="21"/>
      <c r="D14" s="21"/>
    </row>
    <row r="15" ht="20.05" customHeight="1">
      <c r="A15" s="51"/>
      <c r="B15" t="s" s="52">
        <v>246</v>
      </c>
      <c r="C15" t="s" s="39">
        <v>244</v>
      </c>
      <c r="D15" t="s" s="39">
        <v>245</v>
      </c>
    </row>
    <row r="16" ht="20.05" customHeight="1">
      <c r="A16" s="51"/>
      <c r="B16" s="53"/>
      <c r="C16" s="14">
        <v>0</v>
      </c>
      <c r="D16" s="14">
        <v>0</v>
      </c>
    </row>
    <row r="17" ht="20.05" customHeight="1">
      <c r="A17" s="51"/>
      <c r="B17" s="53"/>
      <c r="C17" s="14">
        <v>24</v>
      </c>
      <c r="D17" s="14">
        <v>2</v>
      </c>
    </row>
    <row r="18" ht="20.05" customHeight="1">
      <c r="A18" s="51"/>
      <c r="B18" s="53"/>
      <c r="C18" s="14">
        <v>25.5</v>
      </c>
      <c r="D18" s="14">
        <v>3</v>
      </c>
    </row>
    <row r="19" ht="20.05" customHeight="1">
      <c r="A19" s="51"/>
      <c r="B19" s="53"/>
      <c r="C19" s="14">
        <v>27</v>
      </c>
      <c r="D19" s="14">
        <v>4</v>
      </c>
    </row>
    <row r="20" ht="20.05" customHeight="1">
      <c r="A20" s="51"/>
      <c r="B20" s="53"/>
      <c r="C20" s="14">
        <v>28.5</v>
      </c>
      <c r="D20" s="14">
        <v>5</v>
      </c>
    </row>
    <row r="21" ht="20.05" customHeight="1">
      <c r="A21" s="51"/>
      <c r="B21" s="53"/>
      <c r="C21" s="14">
        <v>30</v>
      </c>
      <c r="D21" s="14">
        <v>6</v>
      </c>
    </row>
    <row r="22" ht="20.05" customHeight="1">
      <c r="A22" s="51"/>
      <c r="B22" s="53"/>
      <c r="C22" s="14">
        <v>31.5</v>
      </c>
      <c r="D22" s="14">
        <v>7</v>
      </c>
    </row>
    <row r="23" ht="20.05" customHeight="1">
      <c r="A23" s="51"/>
      <c r="B23" s="53"/>
      <c r="C23" s="14">
        <v>33</v>
      </c>
      <c r="D23" s="14">
        <v>8</v>
      </c>
    </row>
    <row r="24" ht="20.05" customHeight="1">
      <c r="A24" s="51"/>
      <c r="B24" s="53"/>
      <c r="C24" s="14">
        <v>34.5</v>
      </c>
      <c r="D24" s="14">
        <v>9</v>
      </c>
    </row>
    <row r="25" ht="20.05" customHeight="1">
      <c r="A25" s="51"/>
      <c r="B25" s="53"/>
      <c r="C25" s="14">
        <v>36</v>
      </c>
      <c r="D25" s="14">
        <v>10</v>
      </c>
    </row>
    <row r="26" ht="20.05" customHeight="1">
      <c r="A26" s="51"/>
      <c r="B26" s="53"/>
      <c r="C26" s="21"/>
      <c r="D26" s="21"/>
    </row>
    <row r="27" ht="20.05" customHeight="1">
      <c r="A27" s="51"/>
      <c r="B27" t="s" s="52">
        <v>247</v>
      </c>
      <c r="C27" t="s" s="39">
        <v>244</v>
      </c>
      <c r="D27" t="s" s="39">
        <v>245</v>
      </c>
    </row>
    <row r="28" ht="20.05" customHeight="1">
      <c r="A28" s="51"/>
      <c r="B28" s="53"/>
      <c r="C28" s="14">
        <v>0</v>
      </c>
      <c r="D28" s="14">
        <v>0</v>
      </c>
    </row>
    <row r="29" ht="20.05" customHeight="1">
      <c r="A29" s="51"/>
      <c r="B29" s="53"/>
      <c r="C29" s="14">
        <v>10</v>
      </c>
      <c r="D29" s="14">
        <v>2</v>
      </c>
    </row>
    <row r="30" ht="20.05" customHeight="1">
      <c r="A30" s="51"/>
      <c r="B30" s="53"/>
      <c r="C30" s="14">
        <v>11</v>
      </c>
      <c r="D30" s="14">
        <v>3</v>
      </c>
    </row>
    <row r="31" ht="20.05" customHeight="1">
      <c r="A31" s="51"/>
      <c r="B31" s="53"/>
      <c r="C31" s="14">
        <v>12</v>
      </c>
      <c r="D31" s="14">
        <v>4</v>
      </c>
    </row>
    <row r="32" ht="20.05" customHeight="1">
      <c r="A32" s="51"/>
      <c r="B32" s="53"/>
      <c r="C32" s="14">
        <v>13</v>
      </c>
      <c r="D32" s="14">
        <v>5</v>
      </c>
    </row>
    <row r="33" ht="20.05" customHeight="1">
      <c r="A33" s="51"/>
      <c r="B33" s="53"/>
      <c r="C33" s="14">
        <v>14</v>
      </c>
      <c r="D33" s="14">
        <v>6</v>
      </c>
    </row>
    <row r="34" ht="20.05" customHeight="1">
      <c r="A34" s="51"/>
      <c r="B34" s="53"/>
      <c r="C34" s="14">
        <v>15</v>
      </c>
      <c r="D34" s="14">
        <v>7</v>
      </c>
    </row>
    <row r="35" ht="20.05" customHeight="1">
      <c r="A35" s="51"/>
      <c r="B35" s="53"/>
      <c r="C35" s="14">
        <v>16</v>
      </c>
      <c r="D35" s="14">
        <v>8</v>
      </c>
    </row>
    <row r="36" ht="20.05" customHeight="1">
      <c r="A36" s="51"/>
      <c r="B36" s="53"/>
      <c r="C36" s="14">
        <v>17</v>
      </c>
      <c r="D36" s="14">
        <v>9</v>
      </c>
    </row>
    <row r="37" ht="20.05" customHeight="1">
      <c r="A37" s="51"/>
      <c r="B37" s="53"/>
      <c r="C37" s="14">
        <v>18</v>
      </c>
      <c r="D37" s="14">
        <v>10</v>
      </c>
    </row>
    <row r="38" ht="20.05" customHeight="1">
      <c r="A38" s="51"/>
      <c r="B38" s="53"/>
      <c r="C38" s="21"/>
      <c r="D38" s="21"/>
    </row>
    <row r="39" ht="20.05" customHeight="1">
      <c r="A39" s="51"/>
      <c r="B39" t="s" s="52">
        <v>248</v>
      </c>
      <c r="C39" t="s" s="39">
        <v>244</v>
      </c>
      <c r="D39" t="s" s="39">
        <v>245</v>
      </c>
    </row>
    <row r="40" ht="20.05" customHeight="1">
      <c r="A40" s="51"/>
      <c r="B40" s="53"/>
      <c r="C40" s="14">
        <v>0</v>
      </c>
      <c r="D40" s="14">
        <v>0</v>
      </c>
    </row>
    <row r="41" ht="20.05" customHeight="1">
      <c r="A41" s="51"/>
      <c r="B41" s="53"/>
      <c r="C41" s="14">
        <v>2</v>
      </c>
      <c r="D41" s="14">
        <v>2</v>
      </c>
    </row>
    <row r="42" ht="20.05" customHeight="1">
      <c r="A42" s="51"/>
      <c r="B42" s="53"/>
      <c r="C42" s="14">
        <v>2.5</v>
      </c>
      <c r="D42" s="14">
        <v>3</v>
      </c>
    </row>
    <row r="43" ht="20.05" customHeight="1">
      <c r="A43" s="51"/>
      <c r="B43" s="53"/>
      <c r="C43" s="14">
        <v>3</v>
      </c>
      <c r="D43" s="14">
        <v>4</v>
      </c>
    </row>
    <row r="44" ht="20.05" customHeight="1">
      <c r="A44" s="51"/>
      <c r="B44" s="53"/>
      <c r="C44" s="14">
        <v>3.5</v>
      </c>
      <c r="D44" s="14">
        <v>5</v>
      </c>
    </row>
    <row r="45" ht="20.05" customHeight="1">
      <c r="A45" s="51"/>
      <c r="B45" s="53"/>
      <c r="C45" s="14">
        <v>4</v>
      </c>
      <c r="D45" s="14">
        <v>6</v>
      </c>
    </row>
    <row r="46" ht="20.05" customHeight="1">
      <c r="A46" s="51"/>
      <c r="B46" s="53"/>
      <c r="C46" s="14">
        <v>4.5</v>
      </c>
      <c r="D46" s="14">
        <v>7</v>
      </c>
    </row>
    <row r="47" ht="20.05" customHeight="1">
      <c r="A47" s="51"/>
      <c r="B47" s="53"/>
      <c r="C47" s="14">
        <v>5</v>
      </c>
      <c r="D47" s="14">
        <v>8</v>
      </c>
    </row>
    <row r="48" ht="20.05" customHeight="1">
      <c r="A48" s="51"/>
      <c r="B48" s="53"/>
      <c r="C48" s="14">
        <v>5.5</v>
      </c>
      <c r="D48" s="14">
        <v>9</v>
      </c>
    </row>
    <row r="49" ht="20.05" customHeight="1">
      <c r="A49" s="51"/>
      <c r="B49" s="53"/>
      <c r="C49" s="14">
        <v>6</v>
      </c>
      <c r="D49" s="14">
        <v>10</v>
      </c>
    </row>
    <row r="50" ht="20.05" customHeight="1">
      <c r="A50" s="51"/>
      <c r="B50" s="53"/>
      <c r="C50" s="21"/>
      <c r="D50" s="21"/>
    </row>
    <row r="51" ht="20.05" customHeight="1">
      <c r="A51" s="51"/>
      <c r="B51" t="s" s="52">
        <v>249</v>
      </c>
      <c r="C51" t="s" s="39">
        <v>244</v>
      </c>
      <c r="D51" t="s" s="39">
        <v>245</v>
      </c>
    </row>
    <row r="52" ht="20.05" customHeight="1">
      <c r="A52" s="51"/>
      <c r="B52" s="53"/>
      <c r="C52" s="14">
        <v>0</v>
      </c>
      <c r="D52" s="14">
        <v>0</v>
      </c>
    </row>
    <row r="53" ht="20.05" customHeight="1">
      <c r="A53" s="51"/>
      <c r="B53" s="53"/>
      <c r="C53" s="14">
        <v>0.6</v>
      </c>
      <c r="D53" s="14">
        <v>1</v>
      </c>
    </row>
    <row r="54" ht="20.05" customHeight="1">
      <c r="A54" s="51"/>
      <c r="B54" s="53"/>
      <c r="C54" s="14">
        <v>0.7</v>
      </c>
      <c r="D54" s="14">
        <v>2</v>
      </c>
    </row>
    <row r="55" ht="20.05" customHeight="1">
      <c r="A55" s="51"/>
      <c r="B55" s="53"/>
      <c r="C55" s="14">
        <v>0.8</v>
      </c>
      <c r="D55" s="14">
        <v>3</v>
      </c>
    </row>
    <row r="56" ht="20.05" customHeight="1">
      <c r="A56" s="51"/>
      <c r="B56" s="53"/>
      <c r="C56" s="14">
        <v>0.9</v>
      </c>
      <c r="D56" s="14">
        <v>4</v>
      </c>
    </row>
    <row r="57" ht="20.05" customHeight="1">
      <c r="A57" s="51"/>
      <c r="B57" s="53"/>
      <c r="C57" s="14">
        <v>1</v>
      </c>
      <c r="D57" s="14">
        <v>5</v>
      </c>
    </row>
    <row r="58" ht="20.05" customHeight="1">
      <c r="A58" s="51"/>
      <c r="B58" s="53"/>
      <c r="C58" s="14">
        <v>1.1</v>
      </c>
      <c r="D58" s="14">
        <v>6</v>
      </c>
    </row>
    <row r="59" ht="20.05" customHeight="1">
      <c r="A59" s="51"/>
      <c r="B59" s="53"/>
      <c r="C59" s="14">
        <v>1.2</v>
      </c>
      <c r="D59" s="14">
        <v>7</v>
      </c>
    </row>
    <row r="60" ht="20.05" customHeight="1">
      <c r="A60" s="51"/>
      <c r="B60" s="53"/>
      <c r="C60" s="14">
        <v>1.3</v>
      </c>
      <c r="D60" s="14">
        <v>8</v>
      </c>
    </row>
    <row r="61" ht="20.05" customHeight="1">
      <c r="A61" s="51"/>
      <c r="B61" s="53"/>
      <c r="C61" s="14">
        <v>1.4</v>
      </c>
      <c r="D61" s="14">
        <v>9</v>
      </c>
    </row>
    <row r="62" ht="20.05" customHeight="1">
      <c r="A62" s="51"/>
      <c r="B62" s="53"/>
      <c r="C62" s="14">
        <v>1.5</v>
      </c>
      <c r="D62" s="14">
        <v>10</v>
      </c>
    </row>
    <row r="63" ht="20.05" customHeight="1">
      <c r="A63" s="51"/>
      <c r="B63" s="53"/>
      <c r="C63" s="21"/>
      <c r="D63" s="21"/>
    </row>
    <row r="64" ht="20.05" customHeight="1">
      <c r="A64" s="51"/>
      <c r="B64" t="s" s="52">
        <v>250</v>
      </c>
      <c r="C64" t="s" s="39">
        <v>244</v>
      </c>
      <c r="D64" t="s" s="39">
        <v>245</v>
      </c>
    </row>
    <row r="65" ht="20.05" customHeight="1">
      <c r="A65" s="51"/>
      <c r="B65" s="53"/>
      <c r="C65" s="14">
        <v>0</v>
      </c>
      <c r="D65" s="14">
        <v>0</v>
      </c>
    </row>
    <row r="66" ht="20.05" customHeight="1">
      <c r="A66" s="51"/>
      <c r="B66" s="53"/>
      <c r="C66" s="14">
        <v>0.4</v>
      </c>
      <c r="D66" s="14">
        <v>1</v>
      </c>
    </row>
    <row r="67" ht="20.05" customHeight="1">
      <c r="A67" s="51"/>
      <c r="B67" s="53"/>
      <c r="C67" s="14">
        <v>0.5</v>
      </c>
      <c r="D67" s="14">
        <v>2</v>
      </c>
    </row>
    <row r="68" ht="20.05" customHeight="1">
      <c r="A68" s="51"/>
      <c r="B68" s="53"/>
      <c r="C68" s="14">
        <v>0.6</v>
      </c>
      <c r="D68" s="14">
        <v>3</v>
      </c>
    </row>
    <row r="69" ht="20.05" customHeight="1">
      <c r="A69" s="51"/>
      <c r="B69" s="53"/>
      <c r="C69" s="14">
        <v>0.7</v>
      </c>
      <c r="D69" s="14">
        <v>4</v>
      </c>
    </row>
    <row r="70" ht="20.05" customHeight="1">
      <c r="A70" s="51"/>
      <c r="B70" s="53"/>
      <c r="C70" s="14">
        <v>0.8</v>
      </c>
      <c r="D70" s="14">
        <v>6</v>
      </c>
    </row>
    <row r="71" ht="20.05" customHeight="1">
      <c r="A71" s="51"/>
      <c r="B71" s="53"/>
      <c r="C71" s="14">
        <v>0.9</v>
      </c>
      <c r="D71" s="14">
        <v>8</v>
      </c>
    </row>
    <row r="72" ht="20.05" customHeight="1">
      <c r="A72" s="51"/>
      <c r="B72" s="53"/>
      <c r="C72" s="14">
        <v>1</v>
      </c>
      <c r="D72" s="14">
        <v>10</v>
      </c>
    </row>
    <row r="73" ht="20.05" customHeight="1">
      <c r="A73" s="51"/>
      <c r="B73" s="53"/>
      <c r="C73" s="21"/>
      <c r="D73" s="21"/>
    </row>
    <row r="74" ht="20.05" customHeight="1">
      <c r="A74" s="51"/>
      <c r="B74" t="s" s="52">
        <v>251</v>
      </c>
      <c r="C74" t="s" s="39">
        <v>244</v>
      </c>
      <c r="D74" t="s" s="39">
        <v>245</v>
      </c>
    </row>
    <row r="75" ht="20.05" customHeight="1">
      <c r="A75" s="51"/>
      <c r="B75" s="53"/>
      <c r="C75" s="14">
        <v>4.6</v>
      </c>
      <c r="D75" s="14">
        <v>0</v>
      </c>
    </row>
    <row r="76" ht="20.05" customHeight="1">
      <c r="A76" s="51"/>
      <c r="B76" s="53"/>
      <c r="C76" s="14">
        <v>4.5</v>
      </c>
      <c r="D76" s="14">
        <v>1</v>
      </c>
    </row>
    <row r="77" ht="20.05" customHeight="1">
      <c r="A77" s="51"/>
      <c r="B77" s="53"/>
      <c r="C77" s="14">
        <v>4</v>
      </c>
      <c r="D77" s="14">
        <v>2</v>
      </c>
    </row>
    <row r="78" ht="20.05" customHeight="1">
      <c r="A78" s="51"/>
      <c r="B78" s="53"/>
      <c r="C78" s="14">
        <v>3.5</v>
      </c>
      <c r="D78" s="14">
        <v>3</v>
      </c>
    </row>
    <row r="79" ht="20.05" customHeight="1">
      <c r="A79" s="51"/>
      <c r="B79" s="53"/>
      <c r="C79" s="14">
        <v>3</v>
      </c>
      <c r="D79" s="14">
        <v>4</v>
      </c>
    </row>
    <row r="80" ht="20.05" customHeight="1">
      <c r="A80" s="51"/>
      <c r="B80" s="53"/>
      <c r="C80" s="14">
        <v>2.5</v>
      </c>
      <c r="D80" s="14">
        <v>5</v>
      </c>
    </row>
    <row r="81" ht="20.05" customHeight="1">
      <c r="A81" s="51"/>
      <c r="B81" s="53"/>
      <c r="C81" s="14">
        <v>2</v>
      </c>
      <c r="D81" s="14">
        <v>6</v>
      </c>
    </row>
    <row r="82" ht="20.05" customHeight="1">
      <c r="A82" s="51"/>
      <c r="B82" s="53"/>
      <c r="C82" s="14">
        <v>1.5</v>
      </c>
      <c r="D82" s="14">
        <v>7</v>
      </c>
    </row>
    <row r="83" ht="20.05" customHeight="1">
      <c r="A83" s="51"/>
      <c r="B83" s="53"/>
      <c r="C83" s="14">
        <v>1</v>
      </c>
      <c r="D83" s="14">
        <v>8</v>
      </c>
    </row>
    <row r="84" ht="20.05" customHeight="1">
      <c r="A84" s="51"/>
      <c r="B84" s="53"/>
      <c r="C84" s="14">
        <v>0.5</v>
      </c>
      <c r="D84" s="14">
        <v>9</v>
      </c>
    </row>
    <row r="85" ht="20.05" customHeight="1">
      <c r="A85" s="51"/>
      <c r="B85" s="53"/>
      <c r="C85" s="14">
        <v>0</v>
      </c>
      <c r="D85" s="14">
        <v>10</v>
      </c>
    </row>
    <row r="86" ht="20.05" customHeight="1">
      <c r="A86" s="51"/>
      <c r="B86" s="53"/>
      <c r="C86" s="21"/>
      <c r="D86" s="21"/>
    </row>
    <row r="87" ht="32.05" customHeight="1">
      <c r="A87" s="51"/>
      <c r="B87" t="s" s="52">
        <v>252</v>
      </c>
      <c r="C87" t="s" s="39">
        <v>244</v>
      </c>
      <c r="D87" t="s" s="39">
        <v>245</v>
      </c>
    </row>
    <row r="88" ht="20.05" customHeight="1">
      <c r="A88" s="51"/>
      <c r="B88" s="53"/>
      <c r="C88" s="14">
        <v>3.6</v>
      </c>
      <c r="D88" s="14">
        <v>0</v>
      </c>
    </row>
    <row r="89" ht="20.05" customHeight="1">
      <c r="A89" s="51"/>
      <c r="B89" s="53"/>
      <c r="C89" s="14">
        <v>3.5</v>
      </c>
      <c r="D89" s="14">
        <v>2</v>
      </c>
    </row>
    <row r="90" ht="20.05" customHeight="1">
      <c r="A90" s="51"/>
      <c r="B90" s="53"/>
      <c r="C90" s="14">
        <v>3</v>
      </c>
      <c r="D90" s="14">
        <v>4</v>
      </c>
    </row>
    <row r="91" ht="20.05" customHeight="1">
      <c r="A91" s="51"/>
      <c r="B91" s="53"/>
      <c r="C91" s="14">
        <v>2.5</v>
      </c>
      <c r="D91" s="14">
        <v>5</v>
      </c>
    </row>
    <row r="92" ht="20.05" customHeight="1">
      <c r="A92" s="51"/>
      <c r="B92" s="53"/>
      <c r="C92" s="14">
        <v>2</v>
      </c>
      <c r="D92" s="14">
        <v>6</v>
      </c>
    </row>
    <row r="93" ht="20.05" customHeight="1">
      <c r="A93" s="51"/>
      <c r="B93" s="53"/>
      <c r="C93" s="14">
        <v>1.5</v>
      </c>
      <c r="D93" s="14">
        <v>7</v>
      </c>
    </row>
    <row r="94" ht="20.05" customHeight="1">
      <c r="A94" s="51"/>
      <c r="B94" s="53"/>
      <c r="C94" s="14">
        <v>1</v>
      </c>
      <c r="D94" s="14">
        <v>8</v>
      </c>
    </row>
    <row r="95" ht="20.05" customHeight="1">
      <c r="A95" s="51"/>
      <c r="B95" s="53"/>
      <c r="C95" s="14">
        <v>0.5</v>
      </c>
      <c r="D95" s="14">
        <v>9</v>
      </c>
    </row>
    <row r="96" ht="20.05" customHeight="1">
      <c r="A96" s="51"/>
      <c r="B96" s="53"/>
      <c r="C96" s="14">
        <v>0</v>
      </c>
      <c r="D96" s="14">
        <v>10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